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3.xml" ContentType="application/vnd.openxmlformats-officedocument.spreadsheetml.comment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 defaultThemeVersion="124226"/>
  <xr:revisionPtr revIDLastSave="0" documentId="13_ncr:1_{9ECDF710-66F0-48FF-B1D8-EBA228FEEFA6}" xr6:coauthVersionLast="47" xr6:coauthVersionMax="47" xr10:uidLastSave="{00000000-0000-0000-0000-000000000000}"/>
  <bookViews>
    <workbookView xWindow="-120" yWindow="-120" windowWidth="29040" windowHeight="15840" tabRatio="908" activeTab="5" xr2:uid="{00000000-000D-0000-FFFF-FFFF00000000}"/>
  </bookViews>
  <sheets>
    <sheet name="DQE LOBA" sheetId="62" r:id="rId1"/>
    <sheet name="Details Annulé" sheetId="63" r:id="rId2"/>
    <sheet name="Details PR" sheetId="64" r:id="rId3"/>
    <sheet name="PR MO eclaté Annulé" sheetId="65" r:id="rId4"/>
    <sheet name="Devis ok fusionné Annulé" sheetId="66" r:id="rId5"/>
    <sheet name="Devis ok " sheetId="67" r:id="rId6"/>
    <sheet name="RECAP" sheetId="60" r:id="rId7"/>
    <sheet name="01" sheetId="47" state="hidden" r:id="rId8"/>
    <sheet name="01 ACHAT " sheetId="61" r:id="rId9"/>
    <sheet name="02 SOUS TRAITANCE" sheetId="53" r:id="rId10"/>
    <sheet name="03 OUTILLAGE" sheetId="49" r:id="rId11"/>
    <sheet name="04 TRANSPORT " sheetId="50" r:id="rId12"/>
    <sheet name="05 SUPERVISION" sheetId="51" r:id="rId13"/>
    <sheet name="06 MAIN D'OEUVRE" sheetId="52" r:id="rId14"/>
    <sheet name="08" sheetId="54" state="hidden" r:id="rId15"/>
    <sheet name="09" sheetId="55" state="hidden" r:id="rId16"/>
    <sheet name="03 " sheetId="56" state="hidden" r:id="rId17"/>
    <sheet name="04" sheetId="57" state="hidden" r:id="rId18"/>
    <sheet name="05" sheetId="58" state="hidden" r:id="rId19"/>
    <sheet name="051" sheetId="59" state="hidden" r:id="rId20"/>
    <sheet name="01 (2)" sheetId="21" state="hidden" r:id="rId21"/>
  </sheets>
  <externalReferences>
    <externalReference r:id="rId22"/>
    <externalReference r:id="rId23"/>
  </externalReferences>
  <definedNames>
    <definedName name="_xlnm._FilterDatabase" localSheetId="8" hidden="1">'01 ACHAT '!#REF!</definedName>
    <definedName name="_xlnm.Print_Area" localSheetId="4">'Devis ok fusionné Annulé'!$A$1:$F$279</definedName>
    <definedName name="_xlnm.Print_Area" localSheetId="3">'PR MO eclaté Annulé'!$A$1:$F$201</definedName>
    <definedName name="_xlnm.Print_Area" localSheetId="6">RECAP!$A$1:$F$2483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2" i="67" l="1"/>
  <c r="F321" i="67"/>
  <c r="F320" i="67"/>
  <c r="F319" i="67"/>
  <c r="F325" i="67" s="1"/>
  <c r="F316" i="67"/>
  <c r="F315" i="67"/>
  <c r="F314" i="67"/>
  <c r="F313" i="67"/>
  <c r="F312" i="67"/>
  <c r="F311" i="67"/>
  <c r="F310" i="67"/>
  <c r="F309" i="67"/>
  <c r="F308" i="67"/>
  <c r="F317" i="67" s="1"/>
  <c r="F307" i="67"/>
  <c r="F304" i="67"/>
  <c r="F303" i="67"/>
  <c r="F302" i="67"/>
  <c r="F301" i="67"/>
  <c r="F300" i="67"/>
  <c r="F299" i="67"/>
  <c r="F298" i="67"/>
  <c r="F297" i="67"/>
  <c r="F296" i="67"/>
  <c r="F295" i="67"/>
  <c r="F294" i="67"/>
  <c r="F293" i="67"/>
  <c r="F292" i="67"/>
  <c r="F291" i="67"/>
  <c r="F290" i="67"/>
  <c r="F289" i="67"/>
  <c r="F282" i="67"/>
  <c r="F281" i="67"/>
  <c r="F280" i="67"/>
  <c r="F279" i="67"/>
  <c r="F278" i="67"/>
  <c r="F277" i="67"/>
  <c r="F276" i="67"/>
  <c r="F275" i="67"/>
  <c r="F274" i="67"/>
  <c r="F273" i="67"/>
  <c r="F272" i="67"/>
  <c r="F271" i="67"/>
  <c r="F269" i="67"/>
  <c r="F268" i="67"/>
  <c r="F267" i="67"/>
  <c r="F266" i="67"/>
  <c r="F265" i="67"/>
  <c r="F264" i="67"/>
  <c r="F263" i="67"/>
  <c r="F262" i="67"/>
  <c r="F261" i="67"/>
  <c r="F260" i="67"/>
  <c r="D260" i="67"/>
  <c r="F259" i="67"/>
  <c r="F258" i="67"/>
  <c r="F257" i="67"/>
  <c r="F256" i="67"/>
  <c r="D256" i="67"/>
  <c r="D255" i="67"/>
  <c r="F255" i="67" s="1"/>
  <c r="F254" i="67"/>
  <c r="D254" i="67"/>
  <c r="F253" i="67"/>
  <c r="F252" i="67"/>
  <c r="D252" i="67"/>
  <c r="F251" i="67"/>
  <c r="F250" i="67"/>
  <c r="F249" i="67"/>
  <c r="F248" i="67"/>
  <c r="F247" i="67"/>
  <c r="D246" i="67"/>
  <c r="F246" i="67" s="1"/>
  <c r="F245" i="67"/>
  <c r="F244" i="67"/>
  <c r="F243" i="67"/>
  <c r="F242" i="67"/>
  <c r="F240" i="67"/>
  <c r="F239" i="67"/>
  <c r="F238" i="67"/>
  <c r="F237" i="67"/>
  <c r="F236" i="67"/>
  <c r="F235" i="67"/>
  <c r="F234" i="67"/>
  <c r="F233" i="67"/>
  <c r="D233" i="67"/>
  <c r="F232" i="67"/>
  <c r="F231" i="67"/>
  <c r="F230" i="67"/>
  <c r="F229" i="67"/>
  <c r="F228" i="67"/>
  <c r="F227" i="67"/>
  <c r="F226" i="67"/>
  <c r="F225" i="67"/>
  <c r="F305" i="67" s="1"/>
  <c r="F211" i="67"/>
  <c r="F210" i="67"/>
  <c r="F209" i="67"/>
  <c r="F208" i="67"/>
  <c r="F207" i="67"/>
  <c r="F206" i="67"/>
  <c r="F205" i="67"/>
  <c r="F204" i="67"/>
  <c r="F203" i="67"/>
  <c r="F202" i="67"/>
  <c r="F201" i="67"/>
  <c r="F191" i="67"/>
  <c r="F190" i="67"/>
  <c r="F189" i="67"/>
  <c r="F188" i="67"/>
  <c r="F187" i="67"/>
  <c r="F186" i="67"/>
  <c r="F185" i="67"/>
  <c r="F184" i="67"/>
  <c r="F183" i="67"/>
  <c r="F218" i="67" s="1"/>
  <c r="F180" i="67"/>
  <c r="F179" i="67"/>
  <c r="F178" i="67"/>
  <c r="F177" i="67"/>
  <c r="F176" i="67"/>
  <c r="F175" i="67"/>
  <c r="F174" i="67"/>
  <c r="F173" i="67"/>
  <c r="F172" i="67"/>
  <c r="F171" i="67"/>
  <c r="F170" i="67"/>
  <c r="F169" i="67"/>
  <c r="F168" i="67"/>
  <c r="F167" i="67"/>
  <c r="F166" i="67"/>
  <c r="F165" i="67"/>
  <c r="F164" i="67"/>
  <c r="F163" i="67"/>
  <c r="F162" i="67"/>
  <c r="F161" i="67"/>
  <c r="F160" i="67"/>
  <c r="F159" i="67"/>
  <c r="F158" i="67"/>
  <c r="D157" i="67"/>
  <c r="F157" i="67" s="1"/>
  <c r="F156" i="67"/>
  <c r="F155" i="67"/>
  <c r="F154" i="67"/>
  <c r="F153" i="67"/>
  <c r="F152" i="67"/>
  <c r="F151" i="67"/>
  <c r="D150" i="67"/>
  <c r="F150" i="67" s="1"/>
  <c r="F149" i="67"/>
  <c r="F142" i="67"/>
  <c r="F141" i="67"/>
  <c r="F140" i="67"/>
  <c r="F139" i="67"/>
  <c r="F138" i="67"/>
  <c r="F137" i="67"/>
  <c r="F136" i="67"/>
  <c r="F135" i="67"/>
  <c r="F134" i="67"/>
  <c r="F133" i="67"/>
  <c r="F132" i="67"/>
  <c r="F131" i="67"/>
  <c r="F130" i="67"/>
  <c r="F129" i="67"/>
  <c r="F128" i="67"/>
  <c r="D128" i="67"/>
  <c r="F127" i="67"/>
  <c r="F126" i="67"/>
  <c r="F125" i="67"/>
  <c r="F124" i="67"/>
  <c r="F123" i="67"/>
  <c r="F122" i="67"/>
  <c r="F120" i="67"/>
  <c r="F119" i="67"/>
  <c r="F118" i="67"/>
  <c r="F117" i="67"/>
  <c r="F116" i="67"/>
  <c r="F115" i="67"/>
  <c r="F114" i="67"/>
  <c r="F113" i="67"/>
  <c r="F112" i="67"/>
  <c r="D112" i="67"/>
  <c r="F111" i="67"/>
  <c r="F110" i="67"/>
  <c r="F109" i="67"/>
  <c r="F108" i="67"/>
  <c r="F107" i="67"/>
  <c r="F106" i="67"/>
  <c r="F104" i="67"/>
  <c r="F103" i="67"/>
  <c r="F102" i="67"/>
  <c r="F101" i="67"/>
  <c r="F100" i="67"/>
  <c r="F99" i="67"/>
  <c r="F98" i="67"/>
  <c r="F97" i="67"/>
  <c r="F96" i="67"/>
  <c r="F95" i="67"/>
  <c r="F94" i="67"/>
  <c r="F93" i="67"/>
  <c r="F92" i="67"/>
  <c r="F91" i="67"/>
  <c r="F90" i="67"/>
  <c r="F89" i="67"/>
  <c r="F88" i="67"/>
  <c r="F87" i="67"/>
  <c r="F86" i="67"/>
  <c r="F85" i="67"/>
  <c r="F84" i="67"/>
  <c r="F83" i="67"/>
  <c r="F82" i="67"/>
  <c r="F81" i="67"/>
  <c r="F80" i="67"/>
  <c r="F79" i="67"/>
  <c r="F78" i="67"/>
  <c r="F77" i="67"/>
  <c r="F76" i="67"/>
  <c r="F75" i="67"/>
  <c r="F74" i="67"/>
  <c r="F73" i="67"/>
  <c r="F66" i="67"/>
  <c r="F65" i="67"/>
  <c r="F64" i="67"/>
  <c r="F63" i="67"/>
  <c r="F62" i="67"/>
  <c r="F61" i="67"/>
  <c r="F60" i="67"/>
  <c r="F59" i="67"/>
  <c r="F58" i="67"/>
  <c r="F57" i="67"/>
  <c r="F56" i="67"/>
  <c r="F55" i="67"/>
  <c r="F54" i="67"/>
  <c r="F53" i="67"/>
  <c r="F52" i="67"/>
  <c r="F50" i="67"/>
  <c r="F49" i="67"/>
  <c r="F48" i="67"/>
  <c r="F47" i="67"/>
  <c r="F46" i="67"/>
  <c r="F45" i="67"/>
  <c r="F44" i="67"/>
  <c r="F43" i="67"/>
  <c r="F42" i="67"/>
  <c r="F41" i="67"/>
  <c r="F40" i="67"/>
  <c r="F39" i="67"/>
  <c r="F38" i="67"/>
  <c r="F37" i="67"/>
  <c r="F35" i="67"/>
  <c r="F34" i="67"/>
  <c r="F33" i="67"/>
  <c r="F32" i="67"/>
  <c r="F31" i="67"/>
  <c r="F30" i="67"/>
  <c r="F29" i="67"/>
  <c r="F28" i="67"/>
  <c r="F27" i="67"/>
  <c r="F26" i="67"/>
  <c r="F25" i="67"/>
  <c r="F24" i="67"/>
  <c r="F23" i="67"/>
  <c r="F22" i="67"/>
  <c r="E126" i="66"/>
  <c r="K126" i="66"/>
  <c r="E104" i="66"/>
  <c r="K104" i="66"/>
  <c r="M104" i="66" s="1"/>
  <c r="E48" i="66"/>
  <c r="K48" i="66"/>
  <c r="E16" i="66"/>
  <c r="K16" i="66"/>
  <c r="G11" i="66"/>
  <c r="F263" i="66"/>
  <c r="F262" i="66"/>
  <c r="F261" i="66"/>
  <c r="F259" i="66"/>
  <c r="E253" i="66"/>
  <c r="F253" i="66" s="1"/>
  <c r="E250" i="66"/>
  <c r="F250" i="66" s="1"/>
  <c r="F248" i="66"/>
  <c r="F247" i="66"/>
  <c r="F246" i="66"/>
  <c r="F245" i="66"/>
  <c r="F244" i="66"/>
  <c r="F243" i="66"/>
  <c r="F242" i="66"/>
  <c r="F241" i="66"/>
  <c r="F240" i="66"/>
  <c r="F223" i="66"/>
  <c r="F221" i="66"/>
  <c r="F220" i="66"/>
  <c r="F219" i="66"/>
  <c r="F218" i="66"/>
  <c r="F217" i="66"/>
  <c r="F216" i="66"/>
  <c r="F215" i="66"/>
  <c r="F214" i="66"/>
  <c r="F213" i="66"/>
  <c r="F212" i="66"/>
  <c r="F211" i="66"/>
  <c r="F210" i="66"/>
  <c r="F209" i="66"/>
  <c r="F208" i="66"/>
  <c r="F207" i="66"/>
  <c r="F206" i="66"/>
  <c r="F205" i="66"/>
  <c r="F204" i="66"/>
  <c r="M191" i="66"/>
  <c r="M190" i="66"/>
  <c r="K189" i="66"/>
  <c r="M189" i="66" s="1"/>
  <c r="M186" i="66"/>
  <c r="F186" i="66"/>
  <c r="M185" i="66"/>
  <c r="F185" i="66"/>
  <c r="M184" i="66"/>
  <c r="F184" i="66"/>
  <c r="M183" i="66"/>
  <c r="F183" i="66"/>
  <c r="M182" i="66"/>
  <c r="F182" i="66"/>
  <c r="M181" i="66"/>
  <c r="F181" i="66"/>
  <c r="M180" i="66"/>
  <c r="F180" i="66"/>
  <c r="M179" i="66"/>
  <c r="F179" i="66"/>
  <c r="M172" i="66"/>
  <c r="F172" i="66"/>
  <c r="M171" i="66"/>
  <c r="F171" i="66"/>
  <c r="M170" i="66"/>
  <c r="F170" i="66"/>
  <c r="M169" i="66"/>
  <c r="F169" i="66"/>
  <c r="M168" i="66"/>
  <c r="F168" i="66"/>
  <c r="M167" i="66"/>
  <c r="F167" i="66"/>
  <c r="M166" i="66"/>
  <c r="F166" i="66"/>
  <c r="M165" i="66"/>
  <c r="F165" i="66"/>
  <c r="M164" i="66"/>
  <c r="F164" i="66"/>
  <c r="M163" i="66"/>
  <c r="F163" i="66"/>
  <c r="M162" i="66"/>
  <c r="F162" i="66"/>
  <c r="M161" i="66"/>
  <c r="F161" i="66"/>
  <c r="M160" i="66"/>
  <c r="F160" i="66"/>
  <c r="M159" i="66"/>
  <c r="F159" i="66"/>
  <c r="M158" i="66"/>
  <c r="F158" i="66"/>
  <c r="M157" i="66"/>
  <c r="D157" i="66"/>
  <c r="F157" i="66" s="1"/>
  <c r="M156" i="66"/>
  <c r="F156" i="66"/>
  <c r="M155" i="66"/>
  <c r="F155" i="66"/>
  <c r="M154" i="66"/>
  <c r="F154" i="66"/>
  <c r="M153" i="66"/>
  <c r="F153" i="66"/>
  <c r="M152" i="66"/>
  <c r="F152" i="66"/>
  <c r="M151" i="66"/>
  <c r="F151" i="66"/>
  <c r="M150" i="66"/>
  <c r="D150" i="66"/>
  <c r="F150" i="66" s="1"/>
  <c r="M149" i="66"/>
  <c r="F149" i="66"/>
  <c r="M148" i="66"/>
  <c r="M147" i="66"/>
  <c r="M146" i="66"/>
  <c r="F146" i="66"/>
  <c r="M145" i="66"/>
  <c r="F145" i="66"/>
  <c r="M144" i="66"/>
  <c r="F144" i="66"/>
  <c r="M143" i="66"/>
  <c r="F143" i="66"/>
  <c r="M142" i="66"/>
  <c r="F142" i="66"/>
  <c r="M141" i="66"/>
  <c r="F141" i="66"/>
  <c r="M140" i="66"/>
  <c r="F140" i="66"/>
  <c r="M139" i="66"/>
  <c r="F139" i="66"/>
  <c r="M138" i="66"/>
  <c r="F138" i="66"/>
  <c r="M137" i="66"/>
  <c r="F137" i="66"/>
  <c r="M136" i="66"/>
  <c r="F136" i="66"/>
  <c r="M135" i="66"/>
  <c r="F135" i="66"/>
  <c r="M134" i="66"/>
  <c r="F134" i="66"/>
  <c r="M133" i="66"/>
  <c r="F133" i="66"/>
  <c r="M132" i="66"/>
  <c r="F132" i="66"/>
  <c r="M131" i="66"/>
  <c r="F131" i="66"/>
  <c r="M130" i="66"/>
  <c r="F130" i="66"/>
  <c r="M129" i="66"/>
  <c r="F129" i="66"/>
  <c r="M128" i="66"/>
  <c r="F128" i="66"/>
  <c r="M127" i="66"/>
  <c r="F127" i="66"/>
  <c r="M126" i="66"/>
  <c r="F126" i="66"/>
  <c r="M125" i="66"/>
  <c r="M124" i="66"/>
  <c r="F124" i="66"/>
  <c r="M123" i="66"/>
  <c r="F123" i="66"/>
  <c r="M122" i="66"/>
  <c r="F122" i="66"/>
  <c r="M121" i="66"/>
  <c r="F121" i="66"/>
  <c r="M120" i="66"/>
  <c r="F120" i="66"/>
  <c r="M119" i="66"/>
  <c r="F119" i="66"/>
  <c r="M118" i="66"/>
  <c r="F118" i="66"/>
  <c r="M117" i="66"/>
  <c r="F117" i="66"/>
  <c r="M116" i="66"/>
  <c r="F116" i="66"/>
  <c r="M109" i="66"/>
  <c r="F109" i="66"/>
  <c r="M108" i="66"/>
  <c r="F108" i="66"/>
  <c r="M107" i="66"/>
  <c r="F107" i="66"/>
  <c r="M106" i="66"/>
  <c r="F106" i="66"/>
  <c r="M105" i="66"/>
  <c r="F105" i="66"/>
  <c r="F104" i="66"/>
  <c r="M103" i="66"/>
  <c r="M102" i="66"/>
  <c r="M101" i="66"/>
  <c r="F101" i="66"/>
  <c r="M100" i="66"/>
  <c r="F100" i="66"/>
  <c r="M99" i="66"/>
  <c r="F99" i="66"/>
  <c r="M98" i="66"/>
  <c r="F98" i="66"/>
  <c r="M97" i="66"/>
  <c r="F97" i="66"/>
  <c r="M96" i="66"/>
  <c r="F96" i="66"/>
  <c r="M95" i="66"/>
  <c r="F95" i="66"/>
  <c r="M94" i="66"/>
  <c r="F94" i="66"/>
  <c r="M93" i="66"/>
  <c r="F93" i="66"/>
  <c r="M92" i="66"/>
  <c r="F92" i="66"/>
  <c r="M91" i="66"/>
  <c r="F91" i="66"/>
  <c r="M90" i="66"/>
  <c r="F90" i="66"/>
  <c r="M89" i="66"/>
  <c r="F89" i="66"/>
  <c r="M88" i="66"/>
  <c r="F88" i="66"/>
  <c r="M87" i="66"/>
  <c r="F87" i="66"/>
  <c r="M86" i="66"/>
  <c r="F86" i="66"/>
  <c r="M85" i="66"/>
  <c r="F85" i="66"/>
  <c r="M84" i="66"/>
  <c r="F84" i="66"/>
  <c r="M83" i="66"/>
  <c r="F83" i="66"/>
  <c r="M82" i="66"/>
  <c r="F82" i="66"/>
  <c r="M81" i="66"/>
  <c r="F81" i="66"/>
  <c r="M80" i="66"/>
  <c r="F80" i="66"/>
  <c r="M79" i="66"/>
  <c r="F79" i="66"/>
  <c r="M78" i="66"/>
  <c r="F78" i="66"/>
  <c r="M77" i="66"/>
  <c r="F77" i="66"/>
  <c r="M76" i="66"/>
  <c r="F76" i="66"/>
  <c r="M75" i="66"/>
  <c r="F75" i="66"/>
  <c r="M74" i="66"/>
  <c r="F74" i="66"/>
  <c r="M73" i="66"/>
  <c r="F73" i="66"/>
  <c r="M72" i="66"/>
  <c r="F72" i="66"/>
  <c r="M71" i="66"/>
  <c r="F71" i="66"/>
  <c r="M70" i="66"/>
  <c r="F70" i="66"/>
  <c r="M69" i="66"/>
  <c r="M68" i="66"/>
  <c r="M67" i="66"/>
  <c r="F67" i="66"/>
  <c r="M66" i="66"/>
  <c r="F66" i="66"/>
  <c r="M65" i="66"/>
  <c r="F65" i="66"/>
  <c r="M64" i="66"/>
  <c r="F64" i="66"/>
  <c r="M63" i="66"/>
  <c r="F63" i="66"/>
  <c r="M62" i="66"/>
  <c r="F62" i="66"/>
  <c r="M61" i="66"/>
  <c r="F61" i="66"/>
  <c r="M60" i="66"/>
  <c r="F60" i="66"/>
  <c r="M59" i="66"/>
  <c r="F59" i="66"/>
  <c r="M58" i="66"/>
  <c r="F58" i="66"/>
  <c r="M51" i="66"/>
  <c r="F51" i="66"/>
  <c r="M50" i="66"/>
  <c r="F50" i="66"/>
  <c r="M49" i="66"/>
  <c r="F49" i="66"/>
  <c r="M48" i="66"/>
  <c r="F48" i="66"/>
  <c r="M47" i="66"/>
  <c r="M45" i="66"/>
  <c r="F45" i="66"/>
  <c r="M44" i="66"/>
  <c r="F44" i="66"/>
  <c r="M43" i="66"/>
  <c r="F43" i="66"/>
  <c r="M42" i="66"/>
  <c r="F42" i="66"/>
  <c r="M41" i="66"/>
  <c r="F41" i="66"/>
  <c r="M40" i="66"/>
  <c r="F40" i="66"/>
  <c r="M39" i="66"/>
  <c r="F39" i="66"/>
  <c r="M38" i="66"/>
  <c r="F38" i="66"/>
  <c r="M37" i="66"/>
  <c r="F37" i="66"/>
  <c r="M36" i="66"/>
  <c r="F36" i="66"/>
  <c r="M35" i="66"/>
  <c r="F35" i="66"/>
  <c r="M34" i="66"/>
  <c r="F34" i="66"/>
  <c r="M33" i="66"/>
  <c r="F33" i="66"/>
  <c r="M32" i="66"/>
  <c r="F32" i="66"/>
  <c r="M31" i="66"/>
  <c r="M30" i="66"/>
  <c r="M29" i="66"/>
  <c r="F29" i="66"/>
  <c r="M28" i="66"/>
  <c r="F28" i="66"/>
  <c r="M27" i="66"/>
  <c r="F27" i="66"/>
  <c r="M26" i="66"/>
  <c r="F26" i="66"/>
  <c r="M25" i="66"/>
  <c r="F25" i="66"/>
  <c r="M24" i="66"/>
  <c r="F24" i="66"/>
  <c r="M23" i="66"/>
  <c r="F23" i="66"/>
  <c r="M22" i="66"/>
  <c r="F22" i="66"/>
  <c r="M21" i="66"/>
  <c r="F21" i="66"/>
  <c r="M20" i="66"/>
  <c r="F20" i="66"/>
  <c r="M19" i="66"/>
  <c r="F19" i="66"/>
  <c r="M18" i="66"/>
  <c r="F18" i="66"/>
  <c r="M17" i="66"/>
  <c r="F17" i="66"/>
  <c r="M16" i="66"/>
  <c r="F16" i="66"/>
  <c r="F201" i="66" l="1"/>
  <c r="F267" i="66"/>
  <c r="F232" i="66"/>
  <c r="F256" i="66"/>
  <c r="F270" i="66" l="1"/>
  <c r="F271" i="66" s="1"/>
  <c r="F272" i="66" s="1"/>
  <c r="G190" i="66" l="1"/>
  <c r="E18" i="65" l="1"/>
  <c r="F18" i="65" s="1"/>
  <c r="M18" i="65"/>
  <c r="F171" i="65"/>
  <c r="G14" i="65"/>
  <c r="F21" i="65"/>
  <c r="F29" i="65"/>
  <c r="F35" i="65"/>
  <c r="F40" i="65"/>
  <c r="F43" i="65"/>
  <c r="F50" i="65"/>
  <c r="F51" i="65"/>
  <c r="F52" i="65"/>
  <c r="F53" i="65"/>
  <c r="F58" i="65"/>
  <c r="F59" i="65"/>
  <c r="F60" i="65"/>
  <c r="F61" i="65"/>
  <c r="F67" i="65"/>
  <c r="F68" i="65"/>
  <c r="F69" i="65"/>
  <c r="F71" i="65"/>
  <c r="F75" i="65"/>
  <c r="F76" i="65"/>
  <c r="F77" i="65"/>
  <c r="F79" i="65"/>
  <c r="F83" i="65"/>
  <c r="F84" i="65"/>
  <c r="F85" i="65"/>
  <c r="F87" i="65"/>
  <c r="F91" i="65"/>
  <c r="F92" i="65"/>
  <c r="F93" i="65"/>
  <c r="F95" i="65"/>
  <c r="F101" i="65"/>
  <c r="F109" i="65"/>
  <c r="F120" i="65"/>
  <c r="F123" i="65"/>
  <c r="F128" i="65"/>
  <c r="F131" i="65"/>
  <c r="F136" i="65"/>
  <c r="F140" i="65"/>
  <c r="F147" i="65"/>
  <c r="F152" i="65"/>
  <c r="F155" i="65"/>
  <c r="F160" i="65"/>
  <c r="F163" i="65"/>
  <c r="F168" i="65"/>
  <c r="M19" i="65"/>
  <c r="M20" i="65"/>
  <c r="M21" i="65"/>
  <c r="M22" i="65"/>
  <c r="M23" i="65"/>
  <c r="M24" i="65"/>
  <c r="M25" i="65"/>
  <c r="M26" i="65"/>
  <c r="M27" i="65"/>
  <c r="M28" i="65"/>
  <c r="M29" i="65"/>
  <c r="M30" i="65"/>
  <c r="M31" i="65"/>
  <c r="M32" i="65"/>
  <c r="M33" i="65"/>
  <c r="M34" i="65"/>
  <c r="M35" i="65"/>
  <c r="M36" i="65"/>
  <c r="M37" i="65"/>
  <c r="M38" i="65"/>
  <c r="M39" i="65"/>
  <c r="M40" i="65"/>
  <c r="M41" i="65"/>
  <c r="M42" i="65"/>
  <c r="M43" i="65"/>
  <c r="M44" i="65"/>
  <c r="M45" i="65"/>
  <c r="M46" i="65"/>
  <c r="M47" i="65"/>
  <c r="M49" i="65"/>
  <c r="M50" i="65"/>
  <c r="M51" i="65"/>
  <c r="M52" i="65"/>
  <c r="M53" i="65"/>
  <c r="M54" i="65"/>
  <c r="M55" i="65"/>
  <c r="M56" i="65"/>
  <c r="M57" i="65"/>
  <c r="M58" i="65"/>
  <c r="M59" i="65"/>
  <c r="M60" i="65"/>
  <c r="M61" i="65"/>
  <c r="M62" i="65"/>
  <c r="M63" i="65"/>
  <c r="M64" i="65"/>
  <c r="M65" i="65"/>
  <c r="M66" i="65"/>
  <c r="M67" i="65"/>
  <c r="M68" i="65"/>
  <c r="M69" i="65"/>
  <c r="M70" i="65"/>
  <c r="M71" i="65"/>
  <c r="M72" i="65"/>
  <c r="M73" i="65"/>
  <c r="M74" i="65"/>
  <c r="M75" i="65"/>
  <c r="M76" i="65"/>
  <c r="M77" i="65"/>
  <c r="M78" i="65"/>
  <c r="M79" i="65"/>
  <c r="M80" i="65"/>
  <c r="M81" i="65"/>
  <c r="M82" i="65"/>
  <c r="M83" i="65"/>
  <c r="M84" i="65"/>
  <c r="M85" i="65"/>
  <c r="M86" i="65"/>
  <c r="M87" i="65"/>
  <c r="M88" i="65"/>
  <c r="M89" i="65"/>
  <c r="M90" i="65"/>
  <c r="M91" i="65"/>
  <c r="M92" i="65"/>
  <c r="M93" i="65"/>
  <c r="M94" i="65"/>
  <c r="M95" i="65"/>
  <c r="M96" i="65"/>
  <c r="M97" i="65"/>
  <c r="M98" i="65"/>
  <c r="M99" i="65"/>
  <c r="M100" i="65"/>
  <c r="M101" i="65"/>
  <c r="M102" i="65"/>
  <c r="M103" i="65"/>
  <c r="M104" i="65"/>
  <c r="M105" i="65"/>
  <c r="M106" i="65"/>
  <c r="M107" i="65"/>
  <c r="M108" i="65"/>
  <c r="M109" i="65"/>
  <c r="M110" i="65"/>
  <c r="M111" i="65"/>
  <c r="M112" i="65"/>
  <c r="M113" i="65"/>
  <c r="M114" i="65"/>
  <c r="M115" i="65"/>
  <c r="M116" i="65"/>
  <c r="M117" i="65"/>
  <c r="M118" i="65"/>
  <c r="M119" i="65"/>
  <c r="M120" i="65"/>
  <c r="M121" i="65"/>
  <c r="M122" i="65"/>
  <c r="M123" i="65"/>
  <c r="M124" i="65"/>
  <c r="M125" i="65"/>
  <c r="M126" i="65"/>
  <c r="M127" i="65"/>
  <c r="M128" i="65"/>
  <c r="M129" i="65"/>
  <c r="M130" i="65"/>
  <c r="M131" i="65"/>
  <c r="M132" i="65"/>
  <c r="M133" i="65"/>
  <c r="M134" i="65"/>
  <c r="M135" i="65"/>
  <c r="M136" i="65"/>
  <c r="M137" i="65"/>
  <c r="M138" i="65"/>
  <c r="M139" i="65"/>
  <c r="M140" i="65"/>
  <c r="M141" i="65"/>
  <c r="M142" i="65"/>
  <c r="M143" i="65"/>
  <c r="M144" i="65"/>
  <c r="M145" i="65"/>
  <c r="M146" i="65"/>
  <c r="M147" i="65"/>
  <c r="M148" i="65"/>
  <c r="M149" i="65"/>
  <c r="M150" i="65"/>
  <c r="M151" i="65"/>
  <c r="M152" i="65"/>
  <c r="M153" i="65"/>
  <c r="M154" i="65"/>
  <c r="M155" i="65"/>
  <c r="M156" i="65"/>
  <c r="M157" i="65"/>
  <c r="M158" i="65"/>
  <c r="M159" i="65"/>
  <c r="M160" i="65"/>
  <c r="M161" i="65"/>
  <c r="M162" i="65"/>
  <c r="M163" i="65"/>
  <c r="M164" i="65"/>
  <c r="M165" i="65"/>
  <c r="M166" i="65"/>
  <c r="M167" i="65"/>
  <c r="M168" i="65"/>
  <c r="M169" i="65"/>
  <c r="M170" i="65"/>
  <c r="M171" i="65"/>
  <c r="M172" i="65"/>
  <c r="M174" i="65"/>
  <c r="M175" i="65"/>
  <c r="K173" i="65"/>
  <c r="M173" i="65" s="1"/>
  <c r="F170" i="65"/>
  <c r="F169" i="65"/>
  <c r="F167" i="65"/>
  <c r="F166" i="65"/>
  <c r="F165" i="65"/>
  <c r="F164" i="65"/>
  <c r="F162" i="65"/>
  <c r="F161" i="65"/>
  <c r="F159" i="65"/>
  <c r="F158" i="65"/>
  <c r="F157" i="65"/>
  <c r="F156" i="65"/>
  <c r="F154" i="65"/>
  <c r="F153" i="65"/>
  <c r="F151" i="65"/>
  <c r="F150" i="65"/>
  <c r="F149" i="65"/>
  <c r="D148" i="65"/>
  <c r="F148" i="65" s="1"/>
  <c r="F146" i="65"/>
  <c r="F145" i="65"/>
  <c r="F144" i="65"/>
  <c r="F143" i="65"/>
  <c r="F142" i="65"/>
  <c r="D141" i="65"/>
  <c r="F141" i="65" s="1"/>
  <c r="F137" i="65"/>
  <c r="F135" i="65"/>
  <c r="F134" i="65"/>
  <c r="F133" i="65"/>
  <c r="F132" i="65"/>
  <c r="F130" i="65"/>
  <c r="F129" i="65"/>
  <c r="F127" i="65"/>
  <c r="F126" i="65"/>
  <c r="F125" i="65"/>
  <c r="F124" i="65"/>
  <c r="F122" i="65"/>
  <c r="F121" i="65"/>
  <c r="F119" i="65"/>
  <c r="F118" i="65"/>
  <c r="F117" i="65"/>
  <c r="F114" i="65"/>
  <c r="F113" i="65"/>
  <c r="F112" i="65"/>
  <c r="F111" i="65"/>
  <c r="F110" i="65"/>
  <c r="F108" i="65"/>
  <c r="F107" i="65"/>
  <c r="F106" i="65"/>
  <c r="F105" i="65"/>
  <c r="F104" i="65"/>
  <c r="F103" i="65"/>
  <c r="F102" i="65"/>
  <c r="F100" i="65"/>
  <c r="F97" i="65"/>
  <c r="F96" i="65"/>
  <c r="F94" i="65"/>
  <c r="F90" i="65"/>
  <c r="F89" i="65"/>
  <c r="F88" i="65"/>
  <c r="F86" i="65"/>
  <c r="F82" i="65"/>
  <c r="F81" i="65"/>
  <c r="F80" i="65"/>
  <c r="F78" i="65"/>
  <c r="F74" i="65"/>
  <c r="F73" i="65"/>
  <c r="F72" i="65"/>
  <c r="F70" i="65"/>
  <c r="F66" i="65"/>
  <c r="F63" i="65"/>
  <c r="F62" i="65"/>
  <c r="F57" i="65"/>
  <c r="F56" i="65"/>
  <c r="F55" i="65"/>
  <c r="F54" i="65"/>
  <c r="F47" i="65"/>
  <c r="F46" i="65"/>
  <c r="F45" i="65"/>
  <c r="F44" i="65"/>
  <c r="F42" i="65"/>
  <c r="F41" i="65"/>
  <c r="F39" i="65"/>
  <c r="F38" i="65"/>
  <c r="F37" i="65"/>
  <c r="F36" i="65"/>
  <c r="F34" i="65"/>
  <c r="F31" i="65"/>
  <c r="F30" i="65"/>
  <c r="F28" i="65"/>
  <c r="F27" i="65"/>
  <c r="F26" i="65"/>
  <c r="F25" i="65"/>
  <c r="F24" i="65"/>
  <c r="F23" i="65"/>
  <c r="F22" i="65"/>
  <c r="F20" i="65"/>
  <c r="F19" i="65"/>
  <c r="E170" i="64"/>
  <c r="F170" i="64" s="1"/>
  <c r="J170" i="64"/>
  <c r="G191" i="64"/>
  <c r="D145" i="64"/>
  <c r="D138" i="64"/>
  <c r="E114" i="64"/>
  <c r="F114" i="64" s="1"/>
  <c r="E97" i="64"/>
  <c r="F97" i="64" s="1"/>
  <c r="E47" i="64"/>
  <c r="F47" i="64" s="1"/>
  <c r="E31" i="64"/>
  <c r="F31" i="64" s="1"/>
  <c r="E169" i="64"/>
  <c r="F168" i="64"/>
  <c r="E167" i="64"/>
  <c r="F167" i="64" s="1"/>
  <c r="F166" i="64"/>
  <c r="E166" i="64"/>
  <c r="E165" i="64"/>
  <c r="F165" i="64" s="1"/>
  <c r="E164" i="64"/>
  <c r="F164" i="64" s="1"/>
  <c r="F163" i="64"/>
  <c r="E163" i="64"/>
  <c r="E162" i="64"/>
  <c r="F162" i="64" s="1"/>
  <c r="E161" i="64"/>
  <c r="F161" i="64" s="1"/>
  <c r="E160" i="64"/>
  <c r="F160" i="64" s="1"/>
  <c r="E159" i="64"/>
  <c r="F159" i="64" s="1"/>
  <c r="F158" i="64"/>
  <c r="E158" i="64"/>
  <c r="E157" i="64"/>
  <c r="F157" i="64" s="1"/>
  <c r="E156" i="64"/>
  <c r="F156" i="64" s="1"/>
  <c r="F155" i="64"/>
  <c r="E155" i="64"/>
  <c r="E154" i="64"/>
  <c r="F154" i="64" s="1"/>
  <c r="E153" i="64"/>
  <c r="F153" i="64" s="1"/>
  <c r="E152" i="64"/>
  <c r="F152" i="64" s="1"/>
  <c r="E151" i="64"/>
  <c r="F151" i="64" s="1"/>
  <c r="F150" i="64"/>
  <c r="E150" i="64"/>
  <c r="E149" i="64"/>
  <c r="F149" i="64" s="1"/>
  <c r="E148" i="64"/>
  <c r="F148" i="64" s="1"/>
  <c r="F147" i="64"/>
  <c r="E147" i="64"/>
  <c r="E146" i="64"/>
  <c r="F146" i="64" s="1"/>
  <c r="E145" i="64"/>
  <c r="E144" i="64"/>
  <c r="F144" i="64" s="1"/>
  <c r="E143" i="64"/>
  <c r="F143" i="64" s="1"/>
  <c r="E142" i="64"/>
  <c r="F142" i="64" s="1"/>
  <c r="E141" i="64"/>
  <c r="F141" i="64" s="1"/>
  <c r="E140" i="64"/>
  <c r="F140" i="64" s="1"/>
  <c r="F139" i="64"/>
  <c r="E139" i="64"/>
  <c r="E138" i="64"/>
  <c r="E137" i="64"/>
  <c r="F137" i="64" s="1"/>
  <c r="F134" i="64"/>
  <c r="E133" i="64"/>
  <c r="F133" i="64" s="1"/>
  <c r="F132" i="64"/>
  <c r="E131" i="64"/>
  <c r="F131" i="64" s="1"/>
  <c r="F130" i="64"/>
  <c r="E130" i="64"/>
  <c r="E129" i="64"/>
  <c r="F129" i="64" s="1"/>
  <c r="E128" i="64"/>
  <c r="F128" i="64" s="1"/>
  <c r="F127" i="64"/>
  <c r="E126" i="64"/>
  <c r="F126" i="64" s="1"/>
  <c r="F125" i="64"/>
  <c r="E125" i="64"/>
  <c r="E124" i="64"/>
  <c r="F124" i="64" s="1"/>
  <c r="E123" i="64"/>
  <c r="F123" i="64" s="1"/>
  <c r="F122" i="64"/>
  <c r="E122" i="64"/>
  <c r="E121" i="64"/>
  <c r="F121" i="64" s="1"/>
  <c r="E120" i="64"/>
  <c r="F120" i="64" s="1"/>
  <c r="E119" i="64"/>
  <c r="F119" i="64" s="1"/>
  <c r="E118" i="64"/>
  <c r="F118" i="64" s="1"/>
  <c r="F117" i="64"/>
  <c r="E117" i="64"/>
  <c r="E116" i="64"/>
  <c r="F116" i="64" s="1"/>
  <c r="E115" i="64"/>
  <c r="F115" i="64" s="1"/>
  <c r="E113" i="64"/>
  <c r="E112" i="64"/>
  <c r="E111" i="64"/>
  <c r="F111" i="64" s="1"/>
  <c r="E110" i="64"/>
  <c r="F110" i="64" s="1"/>
  <c r="E109" i="64"/>
  <c r="F109" i="64" s="1"/>
  <c r="F108" i="64"/>
  <c r="E107" i="64"/>
  <c r="F107" i="64" s="1"/>
  <c r="E106" i="64"/>
  <c r="F106" i="64" s="1"/>
  <c r="E105" i="64"/>
  <c r="F105" i="64" s="1"/>
  <c r="E104" i="64"/>
  <c r="F104" i="64" s="1"/>
  <c r="F103" i="64"/>
  <c r="E103" i="64"/>
  <c r="E102" i="64"/>
  <c r="F102" i="64" s="1"/>
  <c r="E101" i="64"/>
  <c r="F101" i="64" s="1"/>
  <c r="E100" i="64"/>
  <c r="F100" i="64" s="1"/>
  <c r="E99" i="64"/>
  <c r="F99" i="64" s="1"/>
  <c r="E98" i="64"/>
  <c r="F98" i="64" s="1"/>
  <c r="E96" i="64"/>
  <c r="E95" i="64"/>
  <c r="E94" i="64"/>
  <c r="F94" i="64" s="1"/>
  <c r="E93" i="64"/>
  <c r="F93" i="64" s="1"/>
  <c r="E92" i="64"/>
  <c r="F92" i="64" s="1"/>
  <c r="E91" i="64"/>
  <c r="F91" i="64" s="1"/>
  <c r="E90" i="64"/>
  <c r="F90" i="64" s="1"/>
  <c r="E89" i="64"/>
  <c r="F89" i="64" s="1"/>
  <c r="E88" i="64"/>
  <c r="F88" i="64" s="1"/>
  <c r="E87" i="64"/>
  <c r="F87" i="64" s="1"/>
  <c r="E86" i="64"/>
  <c r="F86" i="64" s="1"/>
  <c r="E85" i="64"/>
  <c r="F85" i="64" s="1"/>
  <c r="E84" i="64"/>
  <c r="F84" i="64" s="1"/>
  <c r="E83" i="64"/>
  <c r="F83" i="64" s="1"/>
  <c r="E82" i="64"/>
  <c r="F82" i="64" s="1"/>
  <c r="E81" i="64"/>
  <c r="F81" i="64" s="1"/>
  <c r="E80" i="64"/>
  <c r="F80" i="64" s="1"/>
  <c r="E79" i="64"/>
  <c r="F79" i="64" s="1"/>
  <c r="E78" i="64"/>
  <c r="F78" i="64" s="1"/>
  <c r="E77" i="64"/>
  <c r="F77" i="64" s="1"/>
  <c r="E76" i="64"/>
  <c r="F76" i="64" s="1"/>
  <c r="E75" i="64"/>
  <c r="F75" i="64" s="1"/>
  <c r="E74" i="64"/>
  <c r="F74" i="64" s="1"/>
  <c r="E73" i="64"/>
  <c r="F73" i="64" s="1"/>
  <c r="E72" i="64"/>
  <c r="F72" i="64" s="1"/>
  <c r="E71" i="64"/>
  <c r="F71" i="64" s="1"/>
  <c r="E70" i="64"/>
  <c r="F70" i="64" s="1"/>
  <c r="E69" i="64"/>
  <c r="F69" i="64" s="1"/>
  <c r="E68" i="64"/>
  <c r="F68" i="64" s="1"/>
  <c r="E67" i="64"/>
  <c r="F67" i="64" s="1"/>
  <c r="E66" i="64"/>
  <c r="F66" i="64" s="1"/>
  <c r="E65" i="64"/>
  <c r="F65" i="64" s="1"/>
  <c r="E64" i="64"/>
  <c r="F64" i="64" s="1"/>
  <c r="E63" i="64"/>
  <c r="F63" i="64" s="1"/>
  <c r="E62" i="64"/>
  <c r="E61" i="64"/>
  <c r="E60" i="64"/>
  <c r="F60" i="64" s="1"/>
  <c r="F59" i="64"/>
  <c r="E59" i="64"/>
  <c r="E58" i="64"/>
  <c r="F58" i="64" s="1"/>
  <c r="E57" i="64"/>
  <c r="F57" i="64" s="1"/>
  <c r="E56" i="64"/>
  <c r="F56" i="64" s="1"/>
  <c r="E55" i="64"/>
  <c r="F55" i="64" s="1"/>
  <c r="E54" i="64"/>
  <c r="F54" i="64" s="1"/>
  <c r="E53" i="64"/>
  <c r="F53" i="64" s="1"/>
  <c r="E52" i="64"/>
  <c r="F52" i="64" s="1"/>
  <c r="F51" i="64"/>
  <c r="E51" i="64"/>
  <c r="E50" i="64"/>
  <c r="F50" i="64" s="1"/>
  <c r="E49" i="64"/>
  <c r="F49" i="64" s="1"/>
  <c r="E48" i="64"/>
  <c r="F48" i="64" s="1"/>
  <c r="E46" i="64"/>
  <c r="E45" i="64"/>
  <c r="E44" i="64"/>
  <c r="F44" i="64" s="1"/>
  <c r="E43" i="64"/>
  <c r="F43" i="64" s="1"/>
  <c r="E42" i="64"/>
  <c r="F42" i="64" s="1"/>
  <c r="E41" i="64"/>
  <c r="F41" i="64" s="1"/>
  <c r="E40" i="64"/>
  <c r="F40" i="64" s="1"/>
  <c r="E39" i="64"/>
  <c r="F39" i="64" s="1"/>
  <c r="E38" i="64"/>
  <c r="F38" i="64" s="1"/>
  <c r="E37" i="64"/>
  <c r="F37" i="64" s="1"/>
  <c r="E36" i="64"/>
  <c r="F36" i="64" s="1"/>
  <c r="E35" i="64"/>
  <c r="F35" i="64" s="1"/>
  <c r="E34" i="64"/>
  <c r="F34" i="64" s="1"/>
  <c r="E33" i="64"/>
  <c r="F33" i="64" s="1"/>
  <c r="E32" i="64"/>
  <c r="F32" i="64" s="1"/>
  <c r="E30" i="64"/>
  <c r="E29" i="64"/>
  <c r="E28" i="64"/>
  <c r="F28" i="64" s="1"/>
  <c r="E27" i="64"/>
  <c r="F27" i="64" s="1"/>
  <c r="E26" i="64"/>
  <c r="F26" i="64" s="1"/>
  <c r="E25" i="64"/>
  <c r="F25" i="64" s="1"/>
  <c r="E24" i="64"/>
  <c r="F24" i="64" s="1"/>
  <c r="E23" i="64"/>
  <c r="F23" i="64" s="1"/>
  <c r="E22" i="64"/>
  <c r="F22" i="64" s="1"/>
  <c r="E21" i="64"/>
  <c r="F21" i="64" s="1"/>
  <c r="F20" i="64"/>
  <c r="E20" i="64"/>
  <c r="E19" i="64"/>
  <c r="F19" i="64" s="1"/>
  <c r="E18" i="64"/>
  <c r="F18" i="64" s="1"/>
  <c r="E17" i="64"/>
  <c r="F17" i="64" s="1"/>
  <c r="E16" i="64"/>
  <c r="F16" i="64" s="1"/>
  <c r="E15" i="64"/>
  <c r="F15" i="64" s="1"/>
  <c r="E16" i="63"/>
  <c r="F16" i="63" s="1"/>
  <c r="E17" i="63"/>
  <c r="F17" i="63" s="1"/>
  <c r="E18" i="63"/>
  <c r="E19" i="63"/>
  <c r="E20" i="63"/>
  <c r="F20" i="63" s="1"/>
  <c r="E21" i="63"/>
  <c r="F21" i="63" s="1"/>
  <c r="E22" i="63"/>
  <c r="E23" i="63"/>
  <c r="E24" i="63"/>
  <c r="F24" i="63" s="1"/>
  <c r="E25" i="63"/>
  <c r="F25" i="63" s="1"/>
  <c r="E26" i="63"/>
  <c r="E27" i="63"/>
  <c r="E28" i="63"/>
  <c r="F28" i="63" s="1"/>
  <c r="E29" i="63"/>
  <c r="E30" i="63"/>
  <c r="E31" i="63"/>
  <c r="F31" i="63" s="1"/>
  <c r="E32" i="63"/>
  <c r="E33" i="63"/>
  <c r="F33" i="63" s="1"/>
  <c r="E34" i="63"/>
  <c r="E35" i="63"/>
  <c r="F35" i="63" s="1"/>
  <c r="E36" i="63"/>
  <c r="E37" i="63"/>
  <c r="F37" i="63" s="1"/>
  <c r="E38" i="63"/>
  <c r="E39" i="63"/>
  <c r="F39" i="63" s="1"/>
  <c r="E40" i="63"/>
  <c r="E41" i="63"/>
  <c r="F41" i="63" s="1"/>
  <c r="E42" i="63"/>
  <c r="E43" i="63"/>
  <c r="F43" i="63" s="1"/>
  <c r="E44" i="63"/>
  <c r="E45" i="63"/>
  <c r="E46" i="63"/>
  <c r="E47" i="63"/>
  <c r="E48" i="63"/>
  <c r="F48" i="63" s="1"/>
  <c r="E49" i="63"/>
  <c r="E50" i="63"/>
  <c r="E51" i="63"/>
  <c r="E52" i="63"/>
  <c r="F52" i="63" s="1"/>
  <c r="E53" i="63"/>
  <c r="E54" i="63"/>
  <c r="E55" i="63"/>
  <c r="E56" i="63"/>
  <c r="F56" i="63" s="1"/>
  <c r="E57" i="63"/>
  <c r="E58" i="63"/>
  <c r="E59" i="63"/>
  <c r="E60" i="63"/>
  <c r="F60" i="63" s="1"/>
  <c r="E61" i="63"/>
  <c r="E62" i="63"/>
  <c r="E63" i="63"/>
  <c r="E64" i="63"/>
  <c r="E65" i="63"/>
  <c r="F65" i="63" s="1"/>
  <c r="E66" i="63"/>
  <c r="E67" i="63"/>
  <c r="E68" i="63"/>
  <c r="E69" i="63"/>
  <c r="F69" i="63" s="1"/>
  <c r="E70" i="63"/>
  <c r="E71" i="63"/>
  <c r="E72" i="63"/>
  <c r="E73" i="63"/>
  <c r="F73" i="63" s="1"/>
  <c r="E74" i="63"/>
  <c r="E75" i="63"/>
  <c r="E76" i="63"/>
  <c r="E77" i="63"/>
  <c r="F77" i="63" s="1"/>
  <c r="E78" i="63"/>
  <c r="E79" i="63"/>
  <c r="E80" i="63"/>
  <c r="E81" i="63"/>
  <c r="F81" i="63" s="1"/>
  <c r="E82" i="63"/>
  <c r="E83" i="63"/>
  <c r="E84" i="63"/>
  <c r="E85" i="63"/>
  <c r="F85" i="63" s="1"/>
  <c r="E86" i="63"/>
  <c r="E87" i="63"/>
  <c r="E88" i="63"/>
  <c r="E89" i="63"/>
  <c r="F89" i="63" s="1"/>
  <c r="E90" i="63"/>
  <c r="E91" i="63"/>
  <c r="E92" i="63"/>
  <c r="E93" i="63"/>
  <c r="F93" i="63" s="1"/>
  <c r="E94" i="63"/>
  <c r="E95" i="63"/>
  <c r="E96" i="63"/>
  <c r="E97" i="63"/>
  <c r="E98" i="63"/>
  <c r="E99" i="63"/>
  <c r="E100" i="63"/>
  <c r="F100" i="63" s="1"/>
  <c r="E101" i="63"/>
  <c r="E102" i="63"/>
  <c r="E103" i="63"/>
  <c r="E104" i="63"/>
  <c r="F104" i="63" s="1"/>
  <c r="E105" i="63"/>
  <c r="E106" i="63"/>
  <c r="E107" i="63"/>
  <c r="E108" i="63"/>
  <c r="F108" i="63" s="1"/>
  <c r="E109" i="63"/>
  <c r="E110" i="63"/>
  <c r="E111" i="63"/>
  <c r="E112" i="63"/>
  <c r="E113" i="63"/>
  <c r="E114" i="63"/>
  <c r="E115" i="63"/>
  <c r="E116" i="63"/>
  <c r="E117" i="63"/>
  <c r="F117" i="63" s="1"/>
  <c r="E118" i="63"/>
  <c r="E119" i="63"/>
  <c r="E120" i="63"/>
  <c r="E121" i="63"/>
  <c r="F121" i="63" s="1"/>
  <c r="E122" i="63"/>
  <c r="E123" i="63"/>
  <c r="E124" i="63"/>
  <c r="E125" i="63"/>
  <c r="F125" i="63" s="1"/>
  <c r="E126" i="63"/>
  <c r="E127" i="63"/>
  <c r="E128" i="63"/>
  <c r="E129" i="63"/>
  <c r="F129" i="63" s="1"/>
  <c r="E130" i="63"/>
  <c r="E131" i="63"/>
  <c r="E132" i="63"/>
  <c r="E133" i="63"/>
  <c r="F133" i="63" s="1"/>
  <c r="E134" i="63"/>
  <c r="E135" i="63"/>
  <c r="E136" i="63"/>
  <c r="E137" i="63"/>
  <c r="E138" i="63"/>
  <c r="E139" i="63"/>
  <c r="E140" i="63"/>
  <c r="F140" i="63" s="1"/>
  <c r="E141" i="63"/>
  <c r="E142" i="63"/>
  <c r="E143" i="63"/>
  <c r="E144" i="63"/>
  <c r="F144" i="63" s="1"/>
  <c r="E145" i="63"/>
  <c r="E146" i="63"/>
  <c r="E147" i="63"/>
  <c r="E148" i="63"/>
  <c r="F148" i="63" s="1"/>
  <c r="E149" i="63"/>
  <c r="E150" i="63"/>
  <c r="E151" i="63"/>
  <c r="E152" i="63"/>
  <c r="F152" i="63" s="1"/>
  <c r="E153" i="63"/>
  <c r="E154" i="63"/>
  <c r="E155" i="63"/>
  <c r="E156" i="63"/>
  <c r="F156" i="63" s="1"/>
  <c r="E157" i="63"/>
  <c r="E158" i="63"/>
  <c r="E159" i="63"/>
  <c r="E160" i="63"/>
  <c r="F160" i="63" s="1"/>
  <c r="E161" i="63"/>
  <c r="E162" i="63"/>
  <c r="E163" i="63"/>
  <c r="E164" i="63"/>
  <c r="F164" i="63" s="1"/>
  <c r="E165" i="63"/>
  <c r="E166" i="63"/>
  <c r="E167" i="63"/>
  <c r="E168" i="63"/>
  <c r="F168" i="63" s="1"/>
  <c r="E169" i="63"/>
  <c r="E170" i="63"/>
  <c r="E15" i="63"/>
  <c r="F170" i="63"/>
  <c r="F167" i="63"/>
  <c r="F166" i="63"/>
  <c r="F165" i="63"/>
  <c r="F163" i="63"/>
  <c r="F162" i="63"/>
  <c r="F161" i="63"/>
  <c r="F159" i="63"/>
  <c r="F158" i="63"/>
  <c r="F157" i="63"/>
  <c r="F155" i="63"/>
  <c r="F154" i="63"/>
  <c r="F153" i="63"/>
  <c r="F151" i="63"/>
  <c r="F150" i="63"/>
  <c r="F149" i="63"/>
  <c r="F147" i="63"/>
  <c r="F146" i="63"/>
  <c r="F145" i="63"/>
  <c r="F143" i="63"/>
  <c r="F142" i="63"/>
  <c r="F141" i="63"/>
  <c r="F139" i="63"/>
  <c r="F138" i="63"/>
  <c r="F137" i="63"/>
  <c r="F134" i="63"/>
  <c r="F132" i="63"/>
  <c r="F131" i="63"/>
  <c r="F130" i="63"/>
  <c r="F128" i="63"/>
  <c r="F127" i="63"/>
  <c r="F126" i="63"/>
  <c r="F124" i="63"/>
  <c r="F123" i="63"/>
  <c r="F122" i="63"/>
  <c r="F120" i="63"/>
  <c r="F119" i="63"/>
  <c r="F118" i="63"/>
  <c r="F116" i="63"/>
  <c r="F115" i="63"/>
  <c r="D114" i="63"/>
  <c r="F111" i="63"/>
  <c r="F110" i="63"/>
  <c r="F109" i="63"/>
  <c r="F107" i="63"/>
  <c r="F106" i="63"/>
  <c r="F105" i="63"/>
  <c r="F103" i="63"/>
  <c r="F102" i="63"/>
  <c r="F101" i="63"/>
  <c r="F99" i="63"/>
  <c r="F98" i="63"/>
  <c r="D97" i="63"/>
  <c r="F94" i="63"/>
  <c r="F92" i="63"/>
  <c r="F91" i="63"/>
  <c r="F90" i="63"/>
  <c r="F88" i="63"/>
  <c r="F87" i="63"/>
  <c r="F86" i="63"/>
  <c r="F84" i="63"/>
  <c r="F83" i="63"/>
  <c r="F82" i="63"/>
  <c r="F80" i="63"/>
  <c r="F79" i="63"/>
  <c r="F78" i="63"/>
  <c r="F76" i="63"/>
  <c r="F75" i="63"/>
  <c r="F74" i="63"/>
  <c r="F72" i="63"/>
  <c r="F71" i="63"/>
  <c r="F70" i="63"/>
  <c r="F68" i="63"/>
  <c r="F67" i="63"/>
  <c r="F66" i="63"/>
  <c r="F64" i="63"/>
  <c r="F63" i="63"/>
  <c r="F59" i="63"/>
  <c r="F58" i="63"/>
  <c r="F57" i="63"/>
  <c r="F55" i="63"/>
  <c r="F54" i="63"/>
  <c r="F53" i="63"/>
  <c r="F51" i="63"/>
  <c r="F50" i="63"/>
  <c r="F49" i="63"/>
  <c r="F47" i="63"/>
  <c r="D47" i="63"/>
  <c r="F44" i="63"/>
  <c r="F42" i="63"/>
  <c r="F40" i="63"/>
  <c r="F38" i="63"/>
  <c r="F36" i="63"/>
  <c r="F34" i="63"/>
  <c r="F32" i="63"/>
  <c r="F27" i="63"/>
  <c r="F26" i="63"/>
  <c r="F23" i="63"/>
  <c r="F22" i="63"/>
  <c r="F19" i="63"/>
  <c r="F18" i="63"/>
  <c r="F15" i="63"/>
  <c r="F163" i="62"/>
  <c r="F162" i="62"/>
  <c r="F161" i="62"/>
  <c r="F160" i="62"/>
  <c r="F159" i="62"/>
  <c r="F158" i="62"/>
  <c r="F157" i="62"/>
  <c r="F156" i="62"/>
  <c r="F155" i="62"/>
  <c r="F154" i="62"/>
  <c r="F153" i="62"/>
  <c r="F152" i="62"/>
  <c r="F151" i="62"/>
  <c r="F150" i="62"/>
  <c r="F149" i="62"/>
  <c r="F148" i="62"/>
  <c r="F147" i="62"/>
  <c r="F146" i="62"/>
  <c r="F145" i="62"/>
  <c r="F144" i="62"/>
  <c r="F143" i="62"/>
  <c r="F142" i="62"/>
  <c r="F141" i="62"/>
  <c r="F140" i="62"/>
  <c r="F139" i="62"/>
  <c r="F138" i="62"/>
  <c r="F137" i="62"/>
  <c r="F136" i="62"/>
  <c r="F135" i="62"/>
  <c r="F134" i="62"/>
  <c r="F133" i="62"/>
  <c r="F132" i="62"/>
  <c r="F131" i="62"/>
  <c r="F130" i="62"/>
  <c r="F129" i="62"/>
  <c r="F128" i="62"/>
  <c r="F127" i="62"/>
  <c r="F126" i="62"/>
  <c r="F125" i="62"/>
  <c r="F124" i="62"/>
  <c r="F123" i="62"/>
  <c r="F122" i="62"/>
  <c r="F121" i="62"/>
  <c r="F120" i="62"/>
  <c r="F119" i="62"/>
  <c r="F118" i="62"/>
  <c r="F117" i="62"/>
  <c r="F116" i="62"/>
  <c r="F115" i="62"/>
  <c r="F114" i="62"/>
  <c r="F113" i="62"/>
  <c r="F112" i="62"/>
  <c r="F111" i="62"/>
  <c r="F110" i="62"/>
  <c r="F109" i="62"/>
  <c r="D109" i="62"/>
  <c r="F108" i="62"/>
  <c r="F107" i="62"/>
  <c r="F106" i="62"/>
  <c r="F105" i="62"/>
  <c r="F104" i="62"/>
  <c r="F103" i="62"/>
  <c r="F102" i="62"/>
  <c r="F101" i="62"/>
  <c r="F100" i="62"/>
  <c r="F99" i="62"/>
  <c r="F98" i="62"/>
  <c r="F97" i="62"/>
  <c r="F96" i="62"/>
  <c r="F95" i="62"/>
  <c r="F94" i="62"/>
  <c r="F93" i="62"/>
  <c r="D93" i="62"/>
  <c r="F92" i="62"/>
  <c r="F91" i="62"/>
  <c r="F90" i="62"/>
  <c r="F89" i="62"/>
  <c r="F88" i="62"/>
  <c r="F87" i="62"/>
  <c r="F86" i="62"/>
  <c r="F85" i="62"/>
  <c r="F84" i="62"/>
  <c r="F83" i="62"/>
  <c r="F82" i="62"/>
  <c r="F81" i="62"/>
  <c r="F80" i="62"/>
  <c r="F79" i="62"/>
  <c r="F78" i="62"/>
  <c r="F77" i="62"/>
  <c r="F76" i="62"/>
  <c r="F75" i="62"/>
  <c r="F74" i="62"/>
  <c r="F73" i="62"/>
  <c r="F72" i="62"/>
  <c r="F71" i="62"/>
  <c r="F70" i="62"/>
  <c r="F69" i="62"/>
  <c r="F68" i="62"/>
  <c r="F67" i="62"/>
  <c r="F66" i="62"/>
  <c r="F65" i="62"/>
  <c r="F64" i="62"/>
  <c r="F63" i="62"/>
  <c r="F62" i="62"/>
  <c r="F61" i="62"/>
  <c r="F60" i="62"/>
  <c r="F59" i="62"/>
  <c r="F58" i="62"/>
  <c r="F57" i="62"/>
  <c r="F56" i="62"/>
  <c r="F55" i="62"/>
  <c r="F54" i="62"/>
  <c r="F53" i="62"/>
  <c r="F52" i="62"/>
  <c r="F51" i="62"/>
  <c r="F50" i="62"/>
  <c r="F49" i="62"/>
  <c r="F48" i="62"/>
  <c r="F47" i="62"/>
  <c r="F46" i="62"/>
  <c r="F45" i="62"/>
  <c r="D45" i="62"/>
  <c r="F44" i="62"/>
  <c r="F43" i="62"/>
  <c r="F42" i="62"/>
  <c r="F41" i="62"/>
  <c r="F40" i="62"/>
  <c r="F39" i="62"/>
  <c r="F38" i="62"/>
  <c r="F37" i="62"/>
  <c r="F36" i="62"/>
  <c r="F35" i="62"/>
  <c r="F34" i="62"/>
  <c r="F33" i="62"/>
  <c r="F32" i="62"/>
  <c r="F31" i="62"/>
  <c r="F30" i="62"/>
  <c r="F29" i="62"/>
  <c r="F28" i="62"/>
  <c r="F27" i="62"/>
  <c r="F26" i="62"/>
  <c r="F25" i="62"/>
  <c r="F24" i="62"/>
  <c r="F23" i="62"/>
  <c r="F22" i="62"/>
  <c r="E22" i="62"/>
  <c r="F21" i="62"/>
  <c r="F20" i="62"/>
  <c r="F19" i="62"/>
  <c r="F18" i="62"/>
  <c r="F17" i="62"/>
  <c r="F16" i="62"/>
  <c r="F15" i="62"/>
  <c r="F39" i="53"/>
  <c r="H39" i="53"/>
  <c r="F31" i="53"/>
  <c r="H31" i="53"/>
  <c r="F40" i="53"/>
  <c r="H40" i="53"/>
  <c r="F30" i="53"/>
  <c r="H30" i="53"/>
  <c r="F32" i="53"/>
  <c r="H32" i="53"/>
  <c r="G138" i="61"/>
  <c r="H138" i="61"/>
  <c r="J138" i="61" s="1"/>
  <c r="L138" i="61"/>
  <c r="G140" i="61"/>
  <c r="H140" i="61" s="1"/>
  <c r="J140" i="61" s="1"/>
  <c r="L140" i="61"/>
  <c r="G136" i="61"/>
  <c r="H136" i="61" s="1"/>
  <c r="J136" i="61" s="1"/>
  <c r="L136" i="61"/>
  <c r="G139" i="61"/>
  <c r="H139" i="61" s="1"/>
  <c r="J139" i="61" s="1"/>
  <c r="L139" i="61"/>
  <c r="F4" i="53"/>
  <c r="F38" i="53"/>
  <c r="H38" i="53"/>
  <c r="F41" i="53"/>
  <c r="H41" i="53"/>
  <c r="F42" i="53"/>
  <c r="H42" i="53"/>
  <c r="F43" i="53"/>
  <c r="H43" i="53"/>
  <c r="F45" i="53"/>
  <c r="H45" i="53"/>
  <c r="F44" i="53"/>
  <c r="H44" i="53"/>
  <c r="F5" i="53"/>
  <c r="F6" i="53"/>
  <c r="F7" i="53"/>
  <c r="F8" i="53"/>
  <c r="F9" i="53"/>
  <c r="F10" i="53"/>
  <c r="F11" i="53"/>
  <c r="F12" i="53"/>
  <c r="F13" i="53"/>
  <c r="F14" i="53"/>
  <c r="F15" i="53"/>
  <c r="F16" i="53"/>
  <c r="F17" i="53"/>
  <c r="F18" i="53"/>
  <c r="F19" i="53"/>
  <c r="F20" i="53"/>
  <c r="F21" i="53"/>
  <c r="F22" i="53"/>
  <c r="F23" i="53"/>
  <c r="F24" i="53"/>
  <c r="F25" i="53"/>
  <c r="F26" i="53"/>
  <c r="F27" i="53"/>
  <c r="F28" i="53"/>
  <c r="F29" i="53"/>
  <c r="F33" i="53"/>
  <c r="F34" i="53"/>
  <c r="F35" i="53"/>
  <c r="F36" i="53"/>
  <c r="F37" i="53"/>
  <c r="H4" i="53"/>
  <c r="H5" i="53"/>
  <c r="H6" i="53"/>
  <c r="H7" i="53"/>
  <c r="H8" i="53"/>
  <c r="H9" i="53"/>
  <c r="H10" i="53"/>
  <c r="H11" i="53"/>
  <c r="H12" i="53"/>
  <c r="H13" i="53"/>
  <c r="H14" i="53"/>
  <c r="H15" i="53"/>
  <c r="H16" i="53"/>
  <c r="H17" i="53"/>
  <c r="H18" i="53"/>
  <c r="H19" i="53"/>
  <c r="H20" i="53"/>
  <c r="H21" i="53"/>
  <c r="H22" i="53"/>
  <c r="H23" i="53"/>
  <c r="H24" i="53"/>
  <c r="H25" i="53"/>
  <c r="H26" i="53"/>
  <c r="H27" i="53"/>
  <c r="H28" i="53"/>
  <c r="H29" i="53"/>
  <c r="H33" i="53"/>
  <c r="H34" i="53"/>
  <c r="H35" i="53"/>
  <c r="H36" i="53"/>
  <c r="H37" i="53"/>
  <c r="G111" i="61"/>
  <c r="H111" i="61" s="1"/>
  <c r="J111" i="61" s="1"/>
  <c r="G112" i="61"/>
  <c r="H112" i="61" s="1"/>
  <c r="J112" i="61" s="1"/>
  <c r="G113" i="61"/>
  <c r="G114" i="61"/>
  <c r="H114" i="61" s="1"/>
  <c r="J114" i="61" s="1"/>
  <c r="G115" i="61"/>
  <c r="H115" i="61" s="1"/>
  <c r="J115" i="61" s="1"/>
  <c r="G116" i="61"/>
  <c r="H116" i="61" s="1"/>
  <c r="J116" i="61" s="1"/>
  <c r="G117" i="61"/>
  <c r="G118" i="61"/>
  <c r="H118" i="61" s="1"/>
  <c r="J118" i="61" s="1"/>
  <c r="G119" i="61"/>
  <c r="H119" i="61" s="1"/>
  <c r="J119" i="61" s="1"/>
  <c r="G120" i="61"/>
  <c r="H120" i="61" s="1"/>
  <c r="J120" i="61" s="1"/>
  <c r="G121" i="61"/>
  <c r="H121" i="61" s="1"/>
  <c r="J121" i="61" s="1"/>
  <c r="G122" i="61"/>
  <c r="H122" i="61" s="1"/>
  <c r="J122" i="61" s="1"/>
  <c r="G123" i="61"/>
  <c r="H123" i="61" s="1"/>
  <c r="J123" i="61" s="1"/>
  <c r="G124" i="61"/>
  <c r="H124" i="61" s="1"/>
  <c r="J124" i="61" s="1"/>
  <c r="G125" i="61"/>
  <c r="G126" i="61"/>
  <c r="H126" i="61" s="1"/>
  <c r="J126" i="61" s="1"/>
  <c r="G127" i="61"/>
  <c r="H127" i="61" s="1"/>
  <c r="J127" i="61" s="1"/>
  <c r="G128" i="61"/>
  <c r="H128" i="61" s="1"/>
  <c r="J128" i="61" s="1"/>
  <c r="G129" i="61"/>
  <c r="H129" i="61" s="1"/>
  <c r="J129" i="61" s="1"/>
  <c r="G130" i="61"/>
  <c r="H130" i="61" s="1"/>
  <c r="J130" i="61" s="1"/>
  <c r="G131" i="61"/>
  <c r="H131" i="61" s="1"/>
  <c r="J131" i="61" s="1"/>
  <c r="G132" i="61"/>
  <c r="H132" i="61" s="1"/>
  <c r="J132" i="61" s="1"/>
  <c r="G133" i="61"/>
  <c r="H133" i="61" s="1"/>
  <c r="J133" i="61" s="1"/>
  <c r="G134" i="61"/>
  <c r="H134" i="61" s="1"/>
  <c r="J134" i="61" s="1"/>
  <c r="G135" i="61"/>
  <c r="H135" i="61" s="1"/>
  <c r="J135" i="61" s="1"/>
  <c r="G137" i="61"/>
  <c r="H137" i="61" s="1"/>
  <c r="J137" i="61" s="1"/>
  <c r="H113" i="61"/>
  <c r="J113" i="61" s="1"/>
  <c r="H117" i="61"/>
  <c r="J117" i="61" s="1"/>
  <c r="H125" i="61"/>
  <c r="J125" i="61" s="1"/>
  <c r="L111" i="61"/>
  <c r="L112" i="61"/>
  <c r="L113" i="61"/>
  <c r="L114" i="61"/>
  <c r="L115" i="61"/>
  <c r="L116" i="61"/>
  <c r="L117" i="61"/>
  <c r="L118" i="61"/>
  <c r="L119" i="61"/>
  <c r="L120" i="61"/>
  <c r="L121" i="61"/>
  <c r="L122" i="61"/>
  <c r="L123" i="61"/>
  <c r="L124" i="61"/>
  <c r="L125" i="61"/>
  <c r="L126" i="61"/>
  <c r="L127" i="61"/>
  <c r="L128" i="61"/>
  <c r="L129" i="61"/>
  <c r="L130" i="61"/>
  <c r="L131" i="61"/>
  <c r="L132" i="61"/>
  <c r="L133" i="61"/>
  <c r="L134" i="61"/>
  <c r="L135" i="61"/>
  <c r="L137" i="61"/>
  <c r="J9" i="61"/>
  <c r="J10" i="61"/>
  <c r="J11" i="61"/>
  <c r="J13" i="61"/>
  <c r="J18" i="61"/>
  <c r="J19" i="61"/>
  <c r="J20" i="61"/>
  <c r="J21" i="61"/>
  <c r="J25" i="61"/>
  <c r="J26" i="61"/>
  <c r="J27" i="61"/>
  <c r="J28" i="61"/>
  <c r="J29" i="61"/>
  <c r="J34" i="61"/>
  <c r="J35" i="61"/>
  <c r="J36" i="61"/>
  <c r="J37" i="61"/>
  <c r="J42" i="61"/>
  <c r="J43" i="61"/>
  <c r="J44" i="61"/>
  <c r="J45" i="61"/>
  <c r="J46" i="61"/>
  <c r="J49" i="61"/>
  <c r="J50" i="61"/>
  <c r="J51" i="61"/>
  <c r="J52" i="61"/>
  <c r="J53" i="61"/>
  <c r="J58" i="61"/>
  <c r="J59" i="61"/>
  <c r="J60" i="61"/>
  <c r="J61" i="61"/>
  <c r="J66" i="61"/>
  <c r="J67" i="61"/>
  <c r="J68" i="61"/>
  <c r="J69" i="61"/>
  <c r="J73" i="61"/>
  <c r="J74" i="61"/>
  <c r="J75" i="61"/>
  <c r="J76" i="61"/>
  <c r="J77" i="61"/>
  <c r="K110" i="61"/>
  <c r="L109" i="61"/>
  <c r="J109" i="61"/>
  <c r="K109" i="61" s="1"/>
  <c r="L108" i="61"/>
  <c r="J108" i="61"/>
  <c r="K108" i="61" s="1"/>
  <c r="L107" i="61"/>
  <c r="J107" i="61"/>
  <c r="L106" i="61"/>
  <c r="J106" i="61"/>
  <c r="L105" i="61"/>
  <c r="J105" i="61"/>
  <c r="L104" i="61"/>
  <c r="J104" i="61"/>
  <c r="L103" i="61"/>
  <c r="J103" i="61"/>
  <c r="L102" i="61"/>
  <c r="J102" i="61"/>
  <c r="L101" i="61"/>
  <c r="J101" i="61"/>
  <c r="L100" i="61"/>
  <c r="J100" i="61"/>
  <c r="L99" i="61"/>
  <c r="J99" i="61"/>
  <c r="L98" i="61"/>
  <c r="J98" i="61"/>
  <c r="L97" i="61"/>
  <c r="J97" i="61"/>
  <c r="L96" i="61"/>
  <c r="J96" i="61"/>
  <c r="L95" i="61"/>
  <c r="J95" i="61"/>
  <c r="L94" i="61"/>
  <c r="J94" i="61"/>
  <c r="L93" i="61"/>
  <c r="J93" i="61"/>
  <c r="L92" i="61"/>
  <c r="J92" i="61"/>
  <c r="L91" i="61"/>
  <c r="J91" i="61"/>
  <c r="L90" i="61"/>
  <c r="J90" i="61"/>
  <c r="L89" i="61"/>
  <c r="J89" i="61"/>
  <c r="L88" i="61"/>
  <c r="J88" i="61"/>
  <c r="L87" i="61"/>
  <c r="J87" i="61"/>
  <c r="L86" i="61"/>
  <c r="J86" i="61"/>
  <c r="L85" i="61"/>
  <c r="J85" i="61"/>
  <c r="L84" i="61"/>
  <c r="J84" i="61"/>
  <c r="L83" i="61"/>
  <c r="J83" i="61"/>
  <c r="L82" i="61"/>
  <c r="J82" i="61"/>
  <c r="L81" i="61"/>
  <c r="J81" i="61"/>
  <c r="L80" i="61"/>
  <c r="J80" i="61"/>
  <c r="L79" i="61"/>
  <c r="J79" i="61"/>
  <c r="L78" i="61"/>
  <c r="J78" i="61"/>
  <c r="L77" i="61"/>
  <c r="L76" i="61"/>
  <c r="L75" i="61"/>
  <c r="L74" i="61"/>
  <c r="L73" i="61"/>
  <c r="L72" i="61"/>
  <c r="J72" i="61"/>
  <c r="L71" i="61"/>
  <c r="J71" i="61"/>
  <c r="L70" i="61"/>
  <c r="J70" i="61"/>
  <c r="L69" i="61"/>
  <c r="L68" i="61"/>
  <c r="L67" i="61"/>
  <c r="L66" i="61"/>
  <c r="L65" i="61"/>
  <c r="J65" i="61"/>
  <c r="L64" i="61"/>
  <c r="J64" i="61"/>
  <c r="L63" i="61"/>
  <c r="J63" i="61"/>
  <c r="L62" i="61"/>
  <c r="J62" i="61"/>
  <c r="L61" i="61"/>
  <c r="L60" i="61"/>
  <c r="L59" i="61"/>
  <c r="L58" i="61"/>
  <c r="L57" i="61"/>
  <c r="J57" i="61"/>
  <c r="L56" i="61"/>
  <c r="J56" i="61"/>
  <c r="L55" i="61"/>
  <c r="J55" i="61"/>
  <c r="L54" i="61"/>
  <c r="J54" i="61"/>
  <c r="L53" i="61"/>
  <c r="L52" i="61"/>
  <c r="L51" i="61"/>
  <c r="L50" i="61"/>
  <c r="L49" i="61"/>
  <c r="L48" i="61"/>
  <c r="J48" i="61"/>
  <c r="L47" i="61"/>
  <c r="J47" i="61"/>
  <c r="L46" i="61"/>
  <c r="L45" i="61"/>
  <c r="L44" i="61"/>
  <c r="L43" i="61"/>
  <c r="L42" i="61"/>
  <c r="L41" i="61"/>
  <c r="J41" i="61"/>
  <c r="L40" i="61"/>
  <c r="J40" i="61"/>
  <c r="L39" i="61"/>
  <c r="J39" i="61"/>
  <c r="L38" i="61"/>
  <c r="J38" i="61"/>
  <c r="L37" i="61"/>
  <c r="L36" i="61"/>
  <c r="L35" i="61"/>
  <c r="L34" i="61"/>
  <c r="L33" i="61"/>
  <c r="J33" i="61"/>
  <c r="L32" i="61"/>
  <c r="J32" i="61"/>
  <c r="L31" i="61"/>
  <c r="J31" i="61"/>
  <c r="L30" i="61"/>
  <c r="J30" i="61"/>
  <c r="L29" i="61"/>
  <c r="L28" i="61"/>
  <c r="L27" i="61"/>
  <c r="L26" i="61"/>
  <c r="L25" i="61"/>
  <c r="L24" i="61"/>
  <c r="J24" i="61"/>
  <c r="L23" i="61"/>
  <c r="J23" i="61"/>
  <c r="L22" i="61"/>
  <c r="J22" i="61"/>
  <c r="L21" i="61"/>
  <c r="L20" i="61"/>
  <c r="L19" i="61"/>
  <c r="L18" i="61"/>
  <c r="L17" i="61"/>
  <c r="J17" i="61"/>
  <c r="L16" i="61"/>
  <c r="J16" i="61"/>
  <c r="L15" i="61"/>
  <c r="J15" i="61"/>
  <c r="L14" i="61"/>
  <c r="J14" i="61"/>
  <c r="L13" i="61"/>
  <c r="L12" i="61"/>
  <c r="J12" i="61"/>
  <c r="L11" i="61"/>
  <c r="L10" i="61"/>
  <c r="L9" i="61"/>
  <c r="L8" i="61"/>
  <c r="J8" i="61"/>
  <c r="L7" i="61"/>
  <c r="J7" i="61"/>
  <c r="L6" i="61"/>
  <c r="J6" i="61"/>
  <c r="L5" i="61"/>
  <c r="J5" i="61"/>
  <c r="K5" i="61" s="1"/>
  <c r="J4" i="61"/>
  <c r="K4" i="61" s="1"/>
  <c r="T141" i="61"/>
  <c r="R141" i="61"/>
  <c r="N141" i="61"/>
  <c r="Q141" i="61"/>
  <c r="O141" i="61"/>
  <c r="S141" i="61"/>
  <c r="M141" i="61"/>
  <c r="U141" i="61"/>
  <c r="P141" i="61"/>
  <c r="V141" i="61"/>
  <c r="F138" i="64" l="1"/>
  <c r="G190" i="64"/>
  <c r="F145" i="64"/>
  <c r="F181" i="62"/>
  <c r="F182" i="62" s="1"/>
  <c r="F183" i="62" s="1"/>
  <c r="F189" i="64"/>
  <c r="F114" i="63"/>
  <c r="F97" i="63"/>
  <c r="L141" i="61"/>
  <c r="H141" i="61"/>
  <c r="S142" i="61"/>
  <c r="R142" i="61"/>
  <c r="T142" i="61"/>
  <c r="M142" i="61"/>
  <c r="U142" i="61"/>
  <c r="N142" i="61"/>
  <c r="V142" i="61"/>
  <c r="Q142" i="61"/>
  <c r="O142" i="61"/>
  <c r="P142" i="61"/>
  <c r="I7" i="51"/>
  <c r="J5" i="50"/>
  <c r="F192" i="65" l="1"/>
  <c r="F195" i="64"/>
  <c r="G193" i="64"/>
  <c r="G194" i="64" s="1"/>
  <c r="G189" i="64"/>
  <c r="F190" i="64"/>
  <c r="F191" i="64" s="1"/>
  <c r="F188" i="63"/>
  <c r="F189" i="63" s="1"/>
  <c r="F190" i="63" s="1"/>
  <c r="J9" i="50"/>
  <c r="J7" i="50"/>
  <c r="I5" i="51"/>
  <c r="I3" i="52"/>
  <c r="I4" i="52"/>
  <c r="G174" i="65" l="1"/>
  <c r="F193" i="65"/>
  <c r="F194" i="65" s="1"/>
  <c r="G14" i="51"/>
  <c r="G15" i="51" s="1"/>
  <c r="G16" i="51" s="1"/>
  <c r="J8" i="50"/>
  <c r="J4" i="50"/>
  <c r="J3" i="50"/>
  <c r="G10" i="49"/>
  <c r="G9" i="49"/>
  <c r="G8" i="49"/>
  <c r="G7" i="49"/>
  <c r="G6" i="49"/>
  <c r="G5" i="49"/>
  <c r="G4" i="49"/>
  <c r="G3" i="49"/>
  <c r="I4" i="51" l="1"/>
  <c r="I6" i="51"/>
  <c r="I3" i="51"/>
  <c r="I8" i="51" s="1"/>
  <c r="H3" i="51"/>
  <c r="I5" i="52"/>
  <c r="I6" i="52" l="1"/>
  <c r="H4" i="51"/>
  <c r="J6" i="50" l="1"/>
  <c r="G11" i="49" l="1"/>
  <c r="G12" i="49" l="1"/>
  <c r="AK20" i="49" l="1"/>
  <c r="AL20" i="49" s="1"/>
  <c r="AK19" i="49"/>
  <c r="AL19" i="49" s="1"/>
  <c r="AK18" i="49"/>
  <c r="AL18" i="49" s="1"/>
  <c r="AK17" i="49"/>
  <c r="AL17" i="49" s="1"/>
  <c r="E16" i="60" l="1"/>
  <c r="AH11" i="50" l="1"/>
  <c r="AG11" i="50"/>
  <c r="AF11" i="50"/>
  <c r="AE11" i="50"/>
  <c r="AD11" i="50"/>
  <c r="AC11" i="50"/>
  <c r="AB11" i="50"/>
  <c r="AA11" i="50"/>
  <c r="Z11" i="50"/>
  <c r="Y11" i="50"/>
  <c r="X11" i="50"/>
  <c r="W11" i="50"/>
  <c r="V11" i="50"/>
  <c r="U11" i="50"/>
  <c r="T11" i="50"/>
  <c r="S11" i="50"/>
  <c r="R11" i="50"/>
  <c r="Q11" i="50"/>
  <c r="P11" i="50"/>
  <c r="O11" i="50"/>
  <c r="M11" i="50"/>
  <c r="N11" i="50"/>
  <c r="L11" i="50"/>
  <c r="K11" i="50"/>
  <c r="D12" i="60" l="1"/>
  <c r="C11" i="60"/>
  <c r="H5" i="52" l="1"/>
  <c r="L6" i="52" l="1"/>
  <c r="AA6" i="52"/>
  <c r="S6" i="52"/>
  <c r="Z6" i="52"/>
  <c r="Y6" i="52"/>
  <c r="K6" i="52"/>
  <c r="O6" i="52"/>
  <c r="AD6" i="52"/>
  <c r="AH6" i="52"/>
  <c r="AG6" i="52"/>
  <c r="AF6" i="52"/>
  <c r="X6" i="52"/>
  <c r="P6" i="52"/>
  <c r="W6" i="52"/>
  <c r="N6" i="52"/>
  <c r="AC6" i="52"/>
  <c r="U6" i="52"/>
  <c r="M6" i="52"/>
  <c r="V6" i="52"/>
  <c r="AB6" i="52"/>
  <c r="T6" i="52"/>
  <c r="R6" i="52"/>
  <c r="Q6" i="52"/>
  <c r="AE6" i="52"/>
  <c r="D14" i="60" l="1"/>
  <c r="H10" i="50" l="1"/>
  <c r="J10" i="50" s="1"/>
  <c r="J11" i="50" s="1"/>
  <c r="AE8" i="51" l="1"/>
  <c r="AA8" i="51"/>
  <c r="W8" i="51"/>
  <c r="AC8" i="51"/>
  <c r="S8" i="51"/>
  <c r="O8" i="51"/>
  <c r="K8" i="51"/>
  <c r="AH8" i="51"/>
  <c r="R8" i="51"/>
  <c r="AG8" i="51"/>
  <c r="U8" i="51"/>
  <c r="Y8" i="51"/>
  <c r="AD8" i="51"/>
  <c r="Q8" i="51"/>
  <c r="M8" i="51"/>
  <c r="P8" i="51"/>
  <c r="V8" i="51"/>
  <c r="AB8" i="51"/>
  <c r="Z8" i="51"/>
  <c r="T8" i="51"/>
  <c r="AF8" i="51"/>
  <c r="L8" i="51"/>
  <c r="X8" i="51"/>
  <c r="N8" i="51"/>
  <c r="C14" i="60"/>
  <c r="C13" i="60"/>
  <c r="F46" i="53"/>
  <c r="Q12" i="49"/>
  <c r="K12" i="49"/>
  <c r="I12" i="49"/>
  <c r="AE12" i="49"/>
  <c r="W12" i="49"/>
  <c r="AD12" i="49"/>
  <c r="U12" i="49"/>
  <c r="R12" i="49"/>
  <c r="AF12" i="49"/>
  <c r="AB12" i="49"/>
  <c r="N12" i="49"/>
  <c r="V12" i="49"/>
  <c r="L12" i="49"/>
  <c r="O12" i="49"/>
  <c r="X12" i="49"/>
  <c r="Y12" i="49"/>
  <c r="AA12" i="49"/>
  <c r="J12" i="49"/>
  <c r="M12" i="49"/>
  <c r="P12" i="49"/>
  <c r="T12" i="49"/>
  <c r="AC12" i="49"/>
  <c r="S12" i="49"/>
  <c r="Z12" i="49"/>
  <c r="E14" i="60" l="1"/>
  <c r="F14" i="60"/>
  <c r="D13" i="60"/>
  <c r="F13" i="60" s="1"/>
  <c r="D11" i="60"/>
  <c r="F4" i="59"/>
  <c r="I4" i="59" s="1"/>
  <c r="K4" i="59"/>
  <c r="E4" i="58"/>
  <c r="E5" i="58"/>
  <c r="E13" i="60" l="1"/>
  <c r="E11" i="60"/>
  <c r="F11" i="60"/>
  <c r="F3" i="47"/>
  <c r="C12" i="60" l="1"/>
  <c r="F12" i="60"/>
  <c r="K3" i="59"/>
  <c r="F3" i="59"/>
  <c r="I3" i="59" s="1"/>
  <c r="AE5" i="59"/>
  <c r="G4" i="55"/>
  <c r="Y5" i="59"/>
  <c r="U5" i="59"/>
  <c r="AD5" i="59"/>
  <c r="J4" i="55"/>
  <c r="L5" i="59"/>
  <c r="P4" i="55"/>
  <c r="P5" i="59"/>
  <c r="I4" i="55"/>
  <c r="W5" i="59"/>
  <c r="M5" i="59"/>
  <c r="U4" i="55"/>
  <c r="T4" i="55"/>
  <c r="V4" i="55"/>
  <c r="AA4" i="55"/>
  <c r="Q4" i="55"/>
  <c r="T5" i="59"/>
  <c r="N5" i="59"/>
  <c r="W4" i="55"/>
  <c r="AB5" i="59"/>
  <c r="F4" i="55"/>
  <c r="AA5" i="59"/>
  <c r="AC5" i="59"/>
  <c r="AB4" i="55"/>
  <c r="R4" i="55"/>
  <c r="S4" i="55"/>
  <c r="X5" i="59"/>
  <c r="H4" i="55"/>
  <c r="R5" i="59"/>
  <c r="AC4" i="55"/>
  <c r="AH5" i="59"/>
  <c r="N4" i="55"/>
  <c r="Q5" i="59"/>
  <c r="O4" i="55"/>
  <c r="AI5" i="59"/>
  <c r="L4" i="55"/>
  <c r="Z5" i="59"/>
  <c r="O5" i="59"/>
  <c r="X4" i="55"/>
  <c r="AF5" i="59"/>
  <c r="Z4" i="55"/>
  <c r="S5" i="59"/>
  <c r="M4" i="55"/>
  <c r="AG5" i="59"/>
  <c r="V5" i="59"/>
  <c r="Y4" i="55"/>
  <c r="K4" i="55"/>
  <c r="E12" i="60" l="1"/>
  <c r="E3" i="58"/>
  <c r="C10" i="60"/>
  <c r="H3" i="47"/>
  <c r="C15" i="60" l="1"/>
  <c r="I3" i="21" l="1"/>
  <c r="G3" i="21"/>
  <c r="C17" i="60" l="1"/>
  <c r="O4" i="57"/>
  <c r="X46" i="53"/>
  <c r="U6" i="56"/>
  <c r="V4" i="47"/>
  <c r="Z4" i="21"/>
  <c r="S6" i="56"/>
  <c r="G6" i="58"/>
  <c r="AE4" i="21"/>
  <c r="Z6" i="58"/>
  <c r="H4" i="57"/>
  <c r="AA4" i="47"/>
  <c r="L4" i="54"/>
  <c r="L4" i="21"/>
  <c r="AB4" i="47"/>
  <c r="N46" i="53"/>
  <c r="H4" i="54"/>
  <c r="T4" i="57"/>
  <c r="U4" i="57"/>
  <c r="W4" i="54"/>
  <c r="AD46" i="53"/>
  <c r="Q6" i="56"/>
  <c r="N6" i="58"/>
  <c r="W4" i="47"/>
  <c r="S4" i="54"/>
  <c r="M4" i="57"/>
  <c r="J6" i="58"/>
  <c r="M4" i="54"/>
  <c r="R6" i="58"/>
  <c r="L4" i="47"/>
  <c r="O4" i="54"/>
  <c r="AB6" i="58"/>
  <c r="T4" i="54"/>
  <c r="J46" i="53"/>
  <c r="P46" i="53"/>
  <c r="Z4" i="54"/>
  <c r="AG4" i="21"/>
  <c r="P6" i="58"/>
  <c r="P4" i="54"/>
  <c r="H6" i="58"/>
  <c r="T4" i="47"/>
  <c r="W6" i="56"/>
  <c r="AB4" i="54"/>
  <c r="F6" i="58"/>
  <c r="M4" i="47"/>
  <c r="AA4" i="21"/>
  <c r="I46" i="53"/>
  <c r="W4" i="21"/>
  <c r="AB4" i="57"/>
  <c r="AA6" i="58"/>
  <c r="Q4" i="57"/>
  <c r="Q46" i="53"/>
  <c r="J4" i="57"/>
  <c r="V4" i="57"/>
  <c r="O46" i="53"/>
  <c r="N4" i="47"/>
  <c r="U4" i="47"/>
  <c r="Y4" i="21"/>
  <c r="R6" i="56"/>
  <c r="Q4" i="21"/>
  <c r="R4" i="54"/>
  <c r="S4" i="21"/>
  <c r="AA46" i="53"/>
  <c r="U4" i="54"/>
  <c r="AC4" i="21"/>
  <c r="H6" i="56"/>
  <c r="T6" i="58"/>
  <c r="P4" i="47"/>
  <c r="AB46" i="53"/>
  <c r="R4" i="21"/>
  <c r="F4" i="54"/>
  <c r="O6" i="56"/>
  <c r="X6" i="58"/>
  <c r="AC6" i="58"/>
  <c r="G6" i="56"/>
  <c r="S6" i="58"/>
  <c r="X4" i="21"/>
  <c r="W6" i="58"/>
  <c r="Z4" i="47"/>
  <c r="T6" i="56"/>
  <c r="L6" i="58"/>
  <c r="I6" i="58"/>
  <c r="Y6" i="56"/>
  <c r="J4" i="47"/>
  <c r="V6" i="56"/>
  <c r="K4" i="47"/>
  <c r="T4" i="21"/>
  <c r="Z6" i="56"/>
  <c r="S46" i="53"/>
  <c r="N4" i="57"/>
  <c r="R4" i="57"/>
  <c r="T46" i="53"/>
  <c r="I6" i="56"/>
  <c r="U4" i="21"/>
  <c r="J4" i="21"/>
  <c r="Z4" i="57"/>
  <c r="O6" i="58"/>
  <c r="I4" i="57"/>
  <c r="O4" i="47"/>
  <c r="U46" i="53"/>
  <c r="V4" i="21"/>
  <c r="AC4" i="47"/>
  <c r="G4" i="54"/>
  <c r="N4" i="21"/>
  <c r="K4" i="21"/>
  <c r="AD4" i="47"/>
  <c r="V46" i="53"/>
  <c r="Y4" i="47"/>
  <c r="L4" i="57"/>
  <c r="F4" i="57"/>
  <c r="R4" i="47"/>
  <c r="Y4" i="54"/>
  <c r="AB4" i="21"/>
  <c r="X6" i="56"/>
  <c r="E4" i="54"/>
  <c r="AA4" i="54"/>
  <c r="N6" i="56"/>
  <c r="I4" i="47"/>
  <c r="N4" i="54"/>
  <c r="S4" i="57"/>
  <c r="Y4" i="57"/>
  <c r="K4" i="57"/>
  <c r="Q6" i="58"/>
  <c r="AC46" i="53"/>
  <c r="E4" i="57"/>
  <c r="AA6" i="56"/>
  <c r="AF4" i="47"/>
  <c r="X4" i="57"/>
  <c r="Q4" i="54"/>
  <c r="L6" i="56"/>
  <c r="O4" i="21"/>
  <c r="K6" i="58"/>
  <c r="AA4" i="57"/>
  <c r="X4" i="54"/>
  <c r="L46" i="53"/>
  <c r="AE46" i="53"/>
  <c r="AB6" i="56"/>
  <c r="AF4" i="21"/>
  <c r="K4" i="54"/>
  <c r="Y46" i="53"/>
  <c r="K6" i="56"/>
  <c r="P4" i="21"/>
  <c r="I4" i="54"/>
  <c r="M6" i="56"/>
  <c r="G4" i="57"/>
  <c r="R46" i="53"/>
  <c r="F6" i="56"/>
  <c r="S4" i="47"/>
  <c r="P4" i="57"/>
  <c r="AC6" i="56"/>
  <c r="J4" i="54"/>
  <c r="W4" i="57"/>
  <c r="V4" i="54"/>
  <c r="Y6" i="58"/>
  <c r="AF46" i="53"/>
  <c r="Z46" i="53"/>
  <c r="X4" i="47"/>
  <c r="M6" i="58"/>
  <c r="V6" i="58"/>
  <c r="J6" i="56"/>
  <c r="K46" i="53"/>
  <c r="Q4" i="47"/>
  <c r="M4" i="21"/>
  <c r="AD4" i="21"/>
  <c r="M46" i="53"/>
  <c r="W46" i="53"/>
  <c r="P6" i="56"/>
  <c r="U6" i="58"/>
  <c r="AE4" i="47"/>
  <c r="D9" i="60" l="1"/>
  <c r="D10" i="60"/>
  <c r="E10" i="60" l="1"/>
  <c r="F10" i="60"/>
  <c r="D15" i="60"/>
  <c r="D17" i="60" s="1"/>
  <c r="E17" i="60" s="1"/>
  <c r="F9" i="60"/>
  <c r="E9" i="60"/>
  <c r="E15" i="60" l="1"/>
  <c r="F327" i="67" l="1"/>
  <c r="E327" i="67"/>
  <c r="F331" i="67"/>
  <c r="F181" i="67"/>
  <c r="F329" i="67"/>
  <c r="F330" i="6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34" authorId="0" shapeId="0" xr:uid="{6B294BCD-1641-4819-936B-7C2DBE87A4A3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à actualiser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C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 remplir par la RAV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 remplir par le DG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C2" authorId="0" shapeId="0" xr:uid="{1BA7DCBA-F463-4A57-84B5-A2B8324A8EE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 insérer</t>
        </r>
      </text>
    </comment>
  </commentList>
</comments>
</file>

<file path=xl/sharedStrings.xml><?xml version="1.0" encoding="utf-8"?>
<sst xmlns="http://schemas.openxmlformats.org/spreadsheetml/2006/main" count="4185" uniqueCount="742">
  <si>
    <t>01</t>
  </si>
  <si>
    <t>N°</t>
  </si>
  <si>
    <t>TITRE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</si>
  <si>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</si>
  <si>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</si>
  <si>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</si>
  <si>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</si>
  <si>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</si>
  <si>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</si>
  <si>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</si>
  <si>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</si>
  <si>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</si>
  <si>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</si>
  <si>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</si>
  <si>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</si>
  <si>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</si>
  <si>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</si>
  <si>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</si>
  <si>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</si>
  <si>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</si>
  <si>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</si>
  <si>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02</t>
  </si>
  <si>
    <t>03</t>
  </si>
  <si>
    <t>04</t>
  </si>
  <si>
    <t>05</t>
  </si>
  <si>
    <t>06</t>
  </si>
  <si>
    <t>U</t>
  </si>
  <si>
    <t>M19</t>
  </si>
  <si>
    <t>M20</t>
  </si>
  <si>
    <t>M21</t>
  </si>
  <si>
    <t>M22</t>
  </si>
  <si>
    <t>M23</t>
  </si>
  <si>
    <t>M24</t>
  </si>
  <si>
    <t>Commentaire</t>
  </si>
  <si>
    <t>Montant</t>
  </si>
  <si>
    <t>Description</t>
  </si>
  <si>
    <t>Qté</t>
  </si>
  <si>
    <t>Prix unitaire</t>
  </si>
  <si>
    <t>Prix unitaire (HT)</t>
  </si>
  <si>
    <t>Commentaires</t>
  </si>
  <si>
    <t>Prix total (HT)</t>
  </si>
  <si>
    <t>Cumule (%)</t>
  </si>
  <si>
    <t>Qté par
Période</t>
  </si>
  <si>
    <t>TOTAL (FCFA) / mois - HT</t>
  </si>
  <si>
    <t>Départ</t>
  </si>
  <si>
    <t>Destination</t>
  </si>
  <si>
    <t>Qté Total</t>
  </si>
  <si>
    <t>Unité</t>
  </si>
  <si>
    <t>Prix Total</t>
  </si>
  <si>
    <t>Qté par 
Voyage</t>
  </si>
  <si>
    <t>N° de 
voyage</t>
  </si>
  <si>
    <t>Prix par
 voyage</t>
  </si>
  <si>
    <t>05 Supervision</t>
  </si>
  <si>
    <t>Fonction</t>
  </si>
  <si>
    <t>Prix total</t>
  </si>
  <si>
    <t>08 Prestation</t>
  </si>
  <si>
    <t>Montant par mois</t>
  </si>
  <si>
    <t>09 Location</t>
  </si>
  <si>
    <t>11 Hébergement</t>
  </si>
  <si>
    <t>Douane</t>
  </si>
  <si>
    <t>Prix total
  HD (HT)</t>
  </si>
  <si>
    <t>Cumul (%)</t>
  </si>
  <si>
    <t>01 Installation Chantier</t>
  </si>
  <si>
    <t>Total</t>
  </si>
  <si>
    <t>Période</t>
  </si>
  <si>
    <t>Transport Maritime Total</t>
  </si>
  <si>
    <t>Douan Total</t>
  </si>
  <si>
    <t>Prix total
Inc-Douane transport</t>
  </si>
  <si>
    <t>Montant unitaire
 par Jour</t>
  </si>
  <si>
    <t>01 Achat</t>
  </si>
  <si>
    <t>03 Frais de déplacement</t>
  </si>
  <si>
    <t>04 Administration</t>
  </si>
  <si>
    <t>05 Investissements</t>
  </si>
  <si>
    <t>J01</t>
  </si>
  <si>
    <t>J02</t>
  </si>
  <si>
    <t>J03</t>
  </si>
  <si>
    <t>J04</t>
  </si>
  <si>
    <t>J05</t>
  </si>
  <si>
    <t>J06</t>
  </si>
  <si>
    <t>J07</t>
  </si>
  <si>
    <t>J08</t>
  </si>
  <si>
    <t>J09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</si>
  <si>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</si>
  <si>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</si>
  <si>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</si>
  <si>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</si>
  <si>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</si>
  <si>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</si>
  <si>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</si>
  <si>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</si>
  <si>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</si>
  <si>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</si>
  <si>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</si>
  <si>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J21</t>
  </si>
  <si>
    <t>J22</t>
  </si>
  <si>
    <t>J23</t>
  </si>
  <si>
    <t>J24</t>
  </si>
  <si>
    <t>LIBELLE</t>
  </si>
  <si>
    <t>MAIN D'ŒUVRE</t>
  </si>
  <si>
    <t>Coût global salarial</t>
  </si>
  <si>
    <t>Matériel</t>
  </si>
  <si>
    <t>Site</t>
  </si>
  <si>
    <t>Fournisseur</t>
  </si>
  <si>
    <t>Coût horaire</t>
  </si>
  <si>
    <t>04 Main D'œuvre</t>
  </si>
  <si>
    <t>02 Sous traitance</t>
  </si>
  <si>
    <t>TOTAL (FCFA) / jour - HT</t>
  </si>
  <si>
    <t xml:space="preserve">ACHATS </t>
  </si>
  <si>
    <t>SOUS TRAITANCE</t>
  </si>
  <si>
    <t>siège</t>
  </si>
  <si>
    <t>site</t>
  </si>
  <si>
    <t xml:space="preserve">TRANSPORT </t>
  </si>
  <si>
    <t>SUPERVISION</t>
  </si>
  <si>
    <t>Prix Total /Projet</t>
  </si>
  <si>
    <t>TOTAL</t>
  </si>
  <si>
    <t>Nombre de jours</t>
  </si>
  <si>
    <t>Nombre d'heure de travail par jour</t>
  </si>
  <si>
    <t xml:space="preserve">TOTAL (FCFA) / jour </t>
  </si>
  <si>
    <t>Nombre total d'heure de travail</t>
  </si>
  <si>
    <t>Nom et prénoms</t>
  </si>
  <si>
    <t>ff</t>
  </si>
  <si>
    <t>Référence</t>
  </si>
  <si>
    <t>Coût journalier</t>
  </si>
  <si>
    <t xml:space="preserve">04 Transport </t>
  </si>
  <si>
    <t>03 Outillage</t>
  </si>
  <si>
    <t>OUTILLAGE</t>
  </si>
  <si>
    <t>Jour</t>
  </si>
  <si>
    <t>REALISATIONS</t>
  </si>
  <si>
    <t>%</t>
  </si>
  <si>
    <t>1er Verst</t>
  </si>
  <si>
    <t>2e Verst</t>
  </si>
  <si>
    <t>3e Verst</t>
  </si>
  <si>
    <t>4e Verst</t>
  </si>
  <si>
    <t>5e Verst</t>
  </si>
  <si>
    <t>6e Verst</t>
  </si>
  <si>
    <t>7e Verst</t>
  </si>
  <si>
    <t>8e Verst</t>
  </si>
  <si>
    <t>9e Verst</t>
  </si>
  <si>
    <t>10e Verst</t>
  </si>
  <si>
    <t>Prix total
Inc-Douane (1)</t>
  </si>
  <si>
    <t>Réal/Prév (2/1)</t>
  </si>
  <si>
    <t xml:space="preserve"> </t>
  </si>
  <si>
    <t>07</t>
  </si>
  <si>
    <t>08</t>
  </si>
  <si>
    <t>09</t>
  </si>
  <si>
    <t xml:space="preserve">MONTANT CA VENTE: </t>
  </si>
  <si>
    <t xml:space="preserve">MONTANT </t>
  </si>
  <si>
    <t>ECART</t>
  </si>
  <si>
    <t xml:space="preserve">BET </t>
  </si>
  <si>
    <t xml:space="preserve">Escabeau </t>
  </si>
  <si>
    <t xml:space="preserve">Nombre de tech </t>
  </si>
  <si>
    <t>Nombre de techn</t>
  </si>
  <si>
    <t xml:space="preserve">EQUIPE </t>
  </si>
  <si>
    <t>Visa du Directeur Général</t>
  </si>
  <si>
    <t>N°Budget :</t>
  </si>
  <si>
    <t xml:space="preserve">Rallonge certifé </t>
  </si>
  <si>
    <t xml:space="preserve">Perceuse certifé </t>
  </si>
  <si>
    <t>Meuleuse</t>
  </si>
  <si>
    <t xml:space="preserve">Echaudage </t>
  </si>
  <si>
    <t>Mensuel</t>
  </si>
  <si>
    <t>Journalier</t>
  </si>
  <si>
    <t xml:space="preserve">ACHAT </t>
  </si>
  <si>
    <t xml:space="preserve">TEC </t>
  </si>
  <si>
    <t xml:space="preserve">1500f/H </t>
  </si>
  <si>
    <t xml:space="preserve">Supervison </t>
  </si>
  <si>
    <t xml:space="preserve">Transport </t>
  </si>
  <si>
    <t xml:space="preserve">Divers </t>
  </si>
  <si>
    <t>MO (Chiffrage,,,,,)</t>
  </si>
  <si>
    <t xml:space="preserve">Perceuse </t>
  </si>
  <si>
    <t xml:space="preserve">Scie à sol </t>
  </si>
  <si>
    <t xml:space="preserve">Échafaudage </t>
  </si>
  <si>
    <t xml:space="preserve">Caisse à outils </t>
  </si>
  <si>
    <t xml:space="preserve">Ingénieur étude </t>
  </si>
  <si>
    <t>Resp Tech zone</t>
  </si>
  <si>
    <t>Cout Horaire Normal</t>
  </si>
  <si>
    <t>Cout horaire mission</t>
  </si>
  <si>
    <t>TR</t>
  </si>
  <si>
    <t>Technicien</t>
  </si>
  <si>
    <t>Cout horaire avec domici</t>
  </si>
  <si>
    <t>1KM</t>
  </si>
  <si>
    <t>150FCFA</t>
  </si>
  <si>
    <t xml:space="preserve">Rallonge </t>
  </si>
  <si>
    <t xml:space="preserve">site </t>
  </si>
  <si>
    <t>Voyage</t>
  </si>
  <si>
    <t xml:space="preserve">Electriciens </t>
  </si>
  <si>
    <t xml:space="preserve">Equipe </t>
  </si>
  <si>
    <t>Viste de l'AO</t>
  </si>
  <si>
    <t xml:space="preserve">Siège </t>
  </si>
  <si>
    <t xml:space="preserve">Site </t>
  </si>
  <si>
    <t>Etude Appel d'Offre</t>
  </si>
  <si>
    <t>Suivi Projet</t>
  </si>
  <si>
    <t>Commentaire:
- 1 Semaine 5/7 
- 2 Jours de repos par semaine</t>
  </si>
  <si>
    <t>Agent QHSE</t>
  </si>
  <si>
    <t>Sertiseuse</t>
  </si>
  <si>
    <t>Cartouche DYMMO</t>
  </si>
  <si>
    <t>Usure du véhicule</t>
  </si>
  <si>
    <t>Frais péage gue</t>
  </si>
  <si>
    <t>Bascule</t>
  </si>
  <si>
    <t>Chauffeur</t>
  </si>
  <si>
    <t>Equipes</t>
  </si>
  <si>
    <t>Bouaké</t>
  </si>
  <si>
    <t xml:space="preserve">Responsable de zone </t>
  </si>
  <si>
    <t xml:space="preserve">Grillage avertisseur rouge </t>
  </si>
  <si>
    <t>u</t>
  </si>
  <si>
    <t>ens</t>
  </si>
  <si>
    <t>ml</t>
  </si>
  <si>
    <t>ELECTRICITE</t>
  </si>
  <si>
    <t>V01</t>
  </si>
  <si>
    <t>Visa du Responsable Technique zone 1</t>
  </si>
  <si>
    <t xml:space="preserve">FRAIS ANNEXES </t>
  </si>
  <si>
    <t>TRAVAUX DE CORRECTION DE L'ECLAIRAGE PUBLIC - 4ième PONT</t>
  </si>
  <si>
    <t xml:space="preserve"> FOND D'ENTRETIEN ROUTIER </t>
  </si>
  <si>
    <t>DATE : 29/03/2025</t>
  </si>
  <si>
    <t>Câble AGE 5x25mm²</t>
  </si>
  <si>
    <t>Candélabres</t>
  </si>
  <si>
    <t>Câble HF3x1,5mm²</t>
  </si>
  <si>
    <t>Raccords BT 35</t>
  </si>
  <si>
    <t>Bornier ferrai</t>
  </si>
  <si>
    <t>Gaine annelée TPC diamètre 63</t>
  </si>
  <si>
    <t>Condanation des trape sur les candélabres</t>
  </si>
  <si>
    <t>Peinture ant-rouille</t>
  </si>
  <si>
    <t>Démolistion de candélabres</t>
  </si>
  <si>
    <t>Coulage béton</t>
  </si>
  <si>
    <t xml:space="preserve">Tranchée simple </t>
  </si>
  <si>
    <t>Massif et point de diamant</t>
  </si>
  <si>
    <t>AXE  SEBREKO-PEAGE</t>
  </si>
  <si>
    <t>AXE PEAGE-SEBREKO</t>
  </si>
  <si>
    <t>AXE PEAGE-ADJAME/ ADJAME -PEAGE</t>
  </si>
  <si>
    <t>Cuivre nu 29</t>
  </si>
  <si>
    <t>Grillage de terre tissé</t>
  </si>
  <si>
    <t>Piqué de terre 1,5mm²</t>
  </si>
  <si>
    <t>Barrette de terre</t>
  </si>
  <si>
    <t>Terre des masses triangle</t>
  </si>
  <si>
    <t>Terre des masse de neutre</t>
  </si>
  <si>
    <t>Isolateur</t>
  </si>
  <si>
    <t>Grille Cahors 240mm²</t>
  </si>
  <si>
    <t>Coffret métallique 600x400x250</t>
  </si>
  <si>
    <t>Disjoncteur 4P 20A</t>
  </si>
  <si>
    <t xml:space="preserve">Disjoncteur 4P 63A </t>
  </si>
  <si>
    <t>Disjoncteur 4P 25</t>
  </si>
  <si>
    <t>Repartiteur 4P125A</t>
  </si>
  <si>
    <t>Parafoudre Tétra 20KA</t>
  </si>
  <si>
    <t xml:space="preserve">Fil souple 35mm² rouge </t>
  </si>
  <si>
    <t>Fil souple 35mm² bleu</t>
  </si>
  <si>
    <t xml:space="preserve">fil souple 25mm² rouge </t>
  </si>
  <si>
    <t xml:space="preserve">fil souple 25mm² BLEU </t>
  </si>
  <si>
    <t xml:space="preserve">Fil souple 4mm²rouge </t>
  </si>
  <si>
    <t xml:space="preserve">Fil souple 4mm² Bleu </t>
  </si>
  <si>
    <t>Fil souple VJ 16mm²</t>
  </si>
  <si>
    <t>embout 35</t>
  </si>
  <si>
    <t>Embout 25</t>
  </si>
  <si>
    <t>Embout 4</t>
  </si>
  <si>
    <t>Collier collering</t>
  </si>
  <si>
    <t xml:space="preserve">peigne de cablage triphasé </t>
  </si>
  <si>
    <t xml:space="preserve">Bornier 35 legrand </t>
  </si>
  <si>
    <t xml:space="preserve">Ruban d'étiqueteuse </t>
  </si>
  <si>
    <t>Goulotte de câblage 40x60</t>
  </si>
  <si>
    <t>lg</t>
  </si>
  <si>
    <t>Rail omega perforé</t>
  </si>
  <si>
    <t xml:space="preserve">Vis et ecrou clips </t>
  </si>
  <si>
    <t xml:space="preserve">Accessoires de pose </t>
  </si>
  <si>
    <t xml:space="preserve">AXE PEAGE-YOPOUGON  16ième </t>
  </si>
  <si>
    <t>TRAVAUX COMMUNS COTE ADJAME</t>
  </si>
  <si>
    <t xml:space="preserve">AXE YOPOUGON 16ième -PEAGE </t>
  </si>
  <si>
    <t>TRAVAUX COMMUNS COTE YOPOUGON</t>
  </si>
  <si>
    <t>Location de Nacelle 30 mèttres</t>
  </si>
  <si>
    <t>jous</t>
  </si>
  <si>
    <t>Location de Nacelle 20 mèttres</t>
  </si>
  <si>
    <t>Marteau Piqueur</t>
  </si>
  <si>
    <t xml:space="preserve">Construction de Niche </t>
  </si>
  <si>
    <t>Grille de sécurisation Poste Tfo SEBREKO</t>
  </si>
  <si>
    <t>Coffrage Béton pour Câble d'alimentation SEBREKO</t>
  </si>
  <si>
    <t xml:space="preserve">Tuyau PVC pression Diamètre110 </t>
  </si>
  <si>
    <t>Chaudronnier</t>
  </si>
  <si>
    <t xml:space="preserve">Confection de panier </t>
  </si>
  <si>
    <t>Fonçage sous Béton et Butime</t>
  </si>
  <si>
    <t>Fonçage sous terre pleine</t>
  </si>
  <si>
    <t>Echaffaudage 30 mètres</t>
  </si>
  <si>
    <t>DEVIS N°</t>
  </si>
  <si>
    <t xml:space="preserve">OBJET: </t>
  </si>
  <si>
    <t>TRAVAUX DE CORRECTION DES INSTALLATIONS DE CANDELABRES</t>
  </si>
  <si>
    <t xml:space="preserve">SITE : </t>
  </si>
  <si>
    <t>TRACE DU PEAGE DU 4EME PONT YOPOUGON</t>
  </si>
  <si>
    <t>Date : 29/03/2025</t>
  </si>
  <si>
    <t>DÉSIGNATIONS DES OUVRAGES</t>
  </si>
  <si>
    <t>QTÉ</t>
  </si>
  <si>
    <t>PU</t>
  </si>
  <si>
    <t>MONTANT</t>
  </si>
  <si>
    <t>A</t>
  </si>
  <si>
    <t>A.1</t>
  </si>
  <si>
    <t>Câble HGE 4x25mm²</t>
  </si>
  <si>
    <t>A.2</t>
  </si>
  <si>
    <t xml:space="preserve">Cuivre nu 29mm² </t>
  </si>
  <si>
    <t>A.3</t>
  </si>
  <si>
    <t>Câble HFG 3x1,5mm²</t>
  </si>
  <si>
    <t>A.4</t>
  </si>
  <si>
    <t>Raccords BT 35mm²</t>
  </si>
  <si>
    <t>A.5</t>
  </si>
  <si>
    <t>Bornier ferrel 95mm²</t>
  </si>
  <si>
    <t>A.6</t>
  </si>
  <si>
    <t>A.7</t>
  </si>
  <si>
    <t>A.8</t>
  </si>
  <si>
    <t>A.9</t>
  </si>
  <si>
    <t>A.10</t>
  </si>
  <si>
    <t>Démolistion de massif candélabres</t>
  </si>
  <si>
    <t>A.11</t>
  </si>
  <si>
    <t>Coulage béton de sécurisation</t>
  </si>
  <si>
    <t>A.12</t>
  </si>
  <si>
    <t>A.13</t>
  </si>
  <si>
    <t>Massif support en béton armé et point de diamant y compris panier</t>
  </si>
  <si>
    <t>A.14</t>
  </si>
  <si>
    <t>Massif support en béton armé et point de diamant</t>
  </si>
  <si>
    <t>B</t>
  </si>
  <si>
    <t>B.1</t>
  </si>
  <si>
    <t>B.2</t>
  </si>
  <si>
    <t>B.3</t>
  </si>
  <si>
    <t>B.4</t>
  </si>
  <si>
    <t>B.5</t>
  </si>
  <si>
    <t>Bornier ferrai  95mm²</t>
  </si>
  <si>
    <t>B.6</t>
  </si>
  <si>
    <t>B.7</t>
  </si>
  <si>
    <t>B.8</t>
  </si>
  <si>
    <t>B.9</t>
  </si>
  <si>
    <t>B.10</t>
  </si>
  <si>
    <t>B.11</t>
  </si>
  <si>
    <t>B.12</t>
  </si>
  <si>
    <t>B.13</t>
  </si>
  <si>
    <t>B.14</t>
  </si>
  <si>
    <t>Grille en caibotis</t>
  </si>
  <si>
    <t>m2</t>
  </si>
  <si>
    <t>C</t>
  </si>
  <si>
    <t>C.1</t>
  </si>
  <si>
    <t>C.2</t>
  </si>
  <si>
    <t>C.3</t>
  </si>
  <si>
    <t>Câble HFGx1,5mm²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</si>
  <si>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</si>
  <si>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</si>
  <si>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</si>
  <si>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</si>
  <si>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</si>
  <si>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</si>
  <si>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</si>
  <si>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</si>
  <si>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</si>
  <si>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C.13</t>
  </si>
  <si>
    <t>C.14</t>
  </si>
  <si>
    <t>D</t>
  </si>
  <si>
    <t>D.1</t>
  </si>
  <si>
    <t>D.2</t>
  </si>
  <si>
    <t>D.3</t>
  </si>
  <si>
    <t>Piqué de terre 1,8mm²</t>
  </si>
  <si>
    <t>D.4</t>
  </si>
  <si>
    <t>D.5</t>
  </si>
  <si>
    <t>D.6</t>
  </si>
  <si>
    <t>D.7</t>
  </si>
  <si>
    <t>D.8</t>
  </si>
  <si>
    <t>D.9</t>
  </si>
  <si>
    <t xml:space="preserve">Coffret métallique 600x400x250 + platine </t>
  </si>
  <si>
    <t>D.10</t>
  </si>
  <si>
    <t>D.11</t>
  </si>
  <si>
    <t>D.12</t>
  </si>
  <si>
    <t>D.13</t>
  </si>
  <si>
    <t>D.14</t>
  </si>
  <si>
    <t>Parafoudre Tétra 40KA</t>
  </si>
  <si>
    <t>D.15</t>
  </si>
  <si>
    <t>D.16</t>
  </si>
  <si>
    <t>D.17</t>
  </si>
  <si>
    <t>D.18</t>
  </si>
  <si>
    <t>D.19</t>
  </si>
  <si>
    <t>D.20</t>
  </si>
  <si>
    <t>D.21</t>
  </si>
  <si>
    <t>D.22</t>
  </si>
  <si>
    <t>D.23</t>
  </si>
  <si>
    <t>D.24</t>
  </si>
  <si>
    <t>D.25</t>
  </si>
  <si>
    <t>D.26</t>
  </si>
  <si>
    <t>D.27</t>
  </si>
  <si>
    <t>D.28</t>
  </si>
  <si>
    <t>D.29</t>
  </si>
  <si>
    <t>D.30</t>
  </si>
  <si>
    <t>D.31</t>
  </si>
  <si>
    <t>D.32</t>
  </si>
  <si>
    <t>E</t>
  </si>
  <si>
    <t>E.1</t>
  </si>
  <si>
    <t>E.2</t>
  </si>
  <si>
    <t>E.3</t>
  </si>
  <si>
    <t>E.4</t>
  </si>
  <si>
    <t>E.5</t>
  </si>
  <si>
    <t>E.6</t>
  </si>
  <si>
    <t>E.7</t>
  </si>
  <si>
    <t>E.8</t>
  </si>
  <si>
    <t>E.9</t>
  </si>
  <si>
    <t>E.10</t>
  </si>
  <si>
    <t>E.11</t>
  </si>
  <si>
    <t>E.12</t>
  </si>
  <si>
    <t>E.13</t>
  </si>
  <si>
    <t>E.14</t>
  </si>
  <si>
    <t>E.15</t>
  </si>
  <si>
    <t>F</t>
  </si>
  <si>
    <t>F.1</t>
  </si>
  <si>
    <t>F.2</t>
  </si>
  <si>
    <t>F.3</t>
  </si>
  <si>
    <t>F.4</t>
  </si>
  <si>
    <t>F.5</t>
  </si>
  <si>
    <t>F.6</t>
  </si>
  <si>
    <t>F.7</t>
  </si>
  <si>
    <t>F.8</t>
  </si>
  <si>
    <t>F.9</t>
  </si>
  <si>
    <t>F.10</t>
  </si>
  <si>
    <t>F.11</t>
  </si>
  <si>
    <t>F.12</t>
  </si>
  <si>
    <t>F.13</t>
  </si>
  <si>
    <t>F.14</t>
  </si>
  <si>
    <t>F.15</t>
  </si>
  <si>
    <t>F.16</t>
  </si>
  <si>
    <t>F.17</t>
  </si>
  <si>
    <t>F.18</t>
  </si>
  <si>
    <t>F.19</t>
  </si>
  <si>
    <t>jours</t>
  </si>
  <si>
    <t>F.20</t>
  </si>
  <si>
    <t>Nacelle d'accès en hauteur 30 mèttres</t>
  </si>
  <si>
    <t>F.21</t>
  </si>
  <si>
    <t xml:space="preserve">Grue de dépose et levage des candélabres </t>
  </si>
  <si>
    <t>G</t>
  </si>
  <si>
    <t>G.1</t>
  </si>
  <si>
    <t>G.2</t>
  </si>
  <si>
    <t>G.3</t>
  </si>
  <si>
    <t>G.4</t>
  </si>
  <si>
    <t>G.5</t>
  </si>
  <si>
    <t>G.6</t>
  </si>
  <si>
    <t>G.7</t>
  </si>
  <si>
    <t>G.8</t>
  </si>
  <si>
    <t>G.9</t>
  </si>
  <si>
    <t>G.10</t>
  </si>
  <si>
    <t>G.11</t>
  </si>
  <si>
    <t>G.12</t>
  </si>
  <si>
    <t>G.13</t>
  </si>
  <si>
    <t>G.14</t>
  </si>
  <si>
    <t>G.15</t>
  </si>
  <si>
    <t>G.16</t>
  </si>
  <si>
    <t>G.17</t>
  </si>
  <si>
    <t>G.18</t>
  </si>
  <si>
    <t>G.19</t>
  </si>
  <si>
    <t>G.20</t>
  </si>
  <si>
    <t>G.21</t>
  </si>
  <si>
    <t>G.22</t>
  </si>
  <si>
    <t>G.23</t>
  </si>
  <si>
    <t>G.24</t>
  </si>
  <si>
    <t>G.25</t>
  </si>
  <si>
    <t>G.26</t>
  </si>
  <si>
    <t>G.27</t>
  </si>
  <si>
    <t>G.28</t>
  </si>
  <si>
    <t>G.29</t>
  </si>
  <si>
    <t>G.30</t>
  </si>
  <si>
    <t>G.31</t>
  </si>
  <si>
    <t xml:space="preserve">Confection de panier pour </t>
  </si>
  <si>
    <t>G.32</t>
  </si>
  <si>
    <t>MAINS D'ŒUVRE</t>
  </si>
  <si>
    <t>Ens</t>
  </si>
  <si>
    <t xml:space="preserve">Etude de l'installation existante et d'amélioration </t>
  </si>
  <si>
    <t>Dépose de l'installation existante (candélabres)</t>
  </si>
  <si>
    <t xml:space="preserve">Reservation des nouveau passages de cables </t>
  </si>
  <si>
    <t>Réalisation des massifs supports de candélabres</t>
  </si>
  <si>
    <t xml:space="preserve">Déroulage et passage des nouveau cables d'alimentation </t>
  </si>
  <si>
    <t xml:space="preserve">Réalisation du système de protection des cables </t>
  </si>
  <si>
    <t xml:space="preserve">Levage et pose des candélabres suivi du raccordement </t>
  </si>
  <si>
    <t>Câblage et pose des coffrets de protection des départs</t>
  </si>
  <si>
    <t xml:space="preserve">Contrôle de l'installation et mise en service </t>
  </si>
  <si>
    <t xml:space="preserve">Recollement de l'installation </t>
  </si>
  <si>
    <t>CONDITIONS COMMERCIALES</t>
  </si>
  <si>
    <t xml:space="preserve">Validité de l'offre : </t>
  </si>
  <si>
    <t xml:space="preserve">Délai d'exécution des travaux : </t>
  </si>
  <si>
    <t>J nc</t>
  </si>
  <si>
    <r>
      <rPr>
        <b/>
        <sz val="12"/>
        <color theme="1"/>
        <rFont val="Garamond"/>
        <family val="1"/>
      </rPr>
      <t>Règlement :</t>
    </r>
    <r>
      <rPr>
        <sz val="12"/>
        <color theme="1"/>
        <rFont val="Garamond"/>
        <family val="1"/>
      </rPr>
      <t xml:space="preserve"> selon nos termes</t>
    </r>
  </si>
  <si>
    <t xml:space="preserve">TOTAL </t>
  </si>
  <si>
    <t>TVA 18%</t>
  </si>
  <si>
    <t>TOTAL TTC</t>
  </si>
  <si>
    <t>Arrêté le présent devis à la somme de :</t>
  </si>
  <si>
    <t>SERVICE COMMERCIAL</t>
  </si>
  <si>
    <t>COUT DU PROJET - MO</t>
  </si>
  <si>
    <t xml:space="preserve">TRAVAUX DE REPRISE DES INSTALLATIONS DE L'ECLAIRAGE PUBLIC </t>
  </si>
  <si>
    <t>SUR LE DU 4EME PONT D'ABIDJAN</t>
  </si>
  <si>
    <t>AXE  SEBREKO - PEAGE</t>
  </si>
  <si>
    <t>Câble HGE 4x35mm²</t>
  </si>
  <si>
    <t>Condamnation des trape sur les candélabres</t>
  </si>
  <si>
    <t>Peinture anti-rouille</t>
  </si>
  <si>
    <t>Démolition de massif candélabres</t>
  </si>
  <si>
    <t>AXE PEAGE - SEBREKO</t>
  </si>
  <si>
    <t>Grille en caillebotis</t>
  </si>
  <si>
    <t>AXE PEAGE - ADJAME/ ADJAME - PEAGE</t>
  </si>
  <si>
    <t>Condamnation des trapes sur les candélabres</t>
  </si>
  <si>
    <t>TRAVAUX TGBT - TRANSFO - NICHE / ADJAME - SEBROKO - PEAGE</t>
  </si>
  <si>
    <t>Grillage de terre tissée</t>
  </si>
  <si>
    <t>Piquet de terre 1,8m²</t>
  </si>
  <si>
    <t xml:space="preserve">fil souple 25mm² bleu </t>
  </si>
  <si>
    <t xml:space="preserve">Fil souple 4mm² rouge </t>
  </si>
  <si>
    <t xml:space="preserve">Fil souple 4mm² bleu </t>
  </si>
  <si>
    <t>Embout 35</t>
  </si>
  <si>
    <t xml:space="preserve">Peigne de cablage triphasé </t>
  </si>
  <si>
    <t xml:space="preserve">Accessoires divers de pose </t>
  </si>
  <si>
    <t>AXE PEAGE - YOPOUGON  16e arrondissement</t>
  </si>
  <si>
    <t xml:space="preserve">AXE YOPOUGON 16e arrondissement - PEAGE </t>
  </si>
  <si>
    <t>Mise à disposition d'échaffaudage de 30 mètres</t>
  </si>
  <si>
    <t>Mise à disposition de nacelle d'accès en hauteur 30 mèttres</t>
  </si>
  <si>
    <t xml:space="preserve">Mise à disposition de grue de dépose et levage des candélabres </t>
  </si>
  <si>
    <t>TRAVAUX TGBT - TRANSFO - NICHE / YOPOUGON</t>
  </si>
  <si>
    <t>Piquet de terre 1,5m²</t>
  </si>
  <si>
    <r>
      <t xml:space="preserve">Validité de l'offre : </t>
    </r>
    <r>
      <rPr>
        <sz val="12"/>
        <color theme="1"/>
        <rFont val="Garamond"/>
        <family val="1"/>
      </rPr>
      <t>01 mois</t>
    </r>
  </si>
  <si>
    <r>
      <t xml:space="preserve">Délai d'exécution des travaux : </t>
    </r>
    <r>
      <rPr>
        <sz val="12"/>
        <rFont val="Garamond"/>
        <family val="1"/>
      </rPr>
      <t>120 jours</t>
    </r>
  </si>
  <si>
    <t>Un milliard cent quarante deux millions quatre cent quatre vingt douze mille six cent quatre vingt treize francs CFA</t>
  </si>
  <si>
    <t>DEVIS N° 0299/2025</t>
  </si>
  <si>
    <t>Date : 02/04/2025</t>
  </si>
  <si>
    <t>ETENDU DES TRAVAUX A REALISER</t>
  </si>
  <si>
    <t>I</t>
  </si>
  <si>
    <t xml:space="preserve">II </t>
  </si>
  <si>
    <t xml:space="preserve">Transformateur  H59 250KVA   24KV </t>
  </si>
  <si>
    <t xml:space="preserve">Cellule d'arrivée et départ IM SM6  24KV Schneider  </t>
  </si>
  <si>
    <t xml:space="preserve">Cellule de protection transfo QM SM6  24KV Schneider  </t>
  </si>
  <si>
    <t xml:space="preserve">Jeux de 3 fusibles 24kV  63A </t>
  </si>
  <si>
    <t xml:space="preserve">Jeu de 03 bornes embrochables equerre 24kV 240mm² </t>
  </si>
  <si>
    <t>Câble sec 50mm²  24kV</t>
  </si>
  <si>
    <t xml:space="preserve">Jeu de 03 bornes embrochables droite 24kV </t>
  </si>
  <si>
    <t xml:space="preserve">Câble CIS 240mm² 24kV </t>
  </si>
  <si>
    <t xml:space="preserve">Grillage avertisseur orange 40cm </t>
  </si>
  <si>
    <t xml:space="preserve">Rlx </t>
  </si>
  <si>
    <t xml:space="preserve">Chargement de sable d'apport </t>
  </si>
  <si>
    <t xml:space="preserve">Epandage de sable </t>
  </si>
  <si>
    <t>m3</t>
  </si>
  <si>
    <t>Boite de jonction à froid de câble CIS 240mm² 24kV</t>
  </si>
  <si>
    <t xml:space="preserve">Borne de repérage câble CIS </t>
  </si>
  <si>
    <t xml:space="preserve">Frais essai câble CIS </t>
  </si>
  <si>
    <t xml:space="preserve"> Transport et manutention du Transformateur</t>
  </si>
  <si>
    <t xml:space="preserve">Contrôle et renforcement du réseau de terre </t>
  </si>
  <si>
    <t>Contrôle et test du transformateur 250kVA 24kV  à la CIE</t>
  </si>
  <si>
    <t xml:space="preserve">Ens </t>
  </si>
  <si>
    <t xml:space="preserve">Actualisation du dossier technique </t>
  </si>
  <si>
    <t xml:space="preserve">Travaux de dépose des installations existante du poste </t>
  </si>
  <si>
    <t xml:space="preserve">Travaux de peinture intérieure  du poste </t>
  </si>
  <si>
    <t xml:space="preserve">Deroulage et tirage du câble CIS </t>
  </si>
  <si>
    <t xml:space="preserve">Travaux de fouille de passage de CIS </t>
  </si>
  <si>
    <t xml:space="preserve">Travaux de fonçage </t>
  </si>
  <si>
    <t>Travaux de passage de CIS en zone apparente</t>
  </si>
  <si>
    <r>
      <t xml:space="preserve">Frais de contrôle et  prestation CI-Energie - </t>
    </r>
    <r>
      <rPr>
        <b/>
        <sz val="12"/>
        <rFont val="Garamond"/>
        <family val="1"/>
      </rPr>
      <t>6% montant du devis</t>
    </r>
  </si>
  <si>
    <t>III</t>
  </si>
  <si>
    <t xml:space="preserve">Câble PRC 3*35 + 16mm² </t>
  </si>
  <si>
    <t>Câble HG1000 4*25mm²</t>
  </si>
  <si>
    <t>Raccord de 35mm²-70mm²</t>
  </si>
  <si>
    <t>Câble HG1000 3G1,5mm²</t>
  </si>
  <si>
    <t>Tableau EP</t>
  </si>
  <si>
    <t>Cheville n°12</t>
  </si>
  <si>
    <t>Tirfond n°8</t>
  </si>
  <si>
    <t>Bornier ferrel 70mm²</t>
  </si>
  <si>
    <t>Bornier ferrel 95mm²-120mm²</t>
  </si>
  <si>
    <t xml:space="preserve">MAINS D'ŒUVRE </t>
  </si>
  <si>
    <t>IV</t>
  </si>
  <si>
    <t>RAVITAILLEMENT EN CARBURANT DU GE SDMO 110 KVA ALIMENTANT PROVISOIREMENT L'ECLAIRAGE PUBLIC</t>
  </si>
  <si>
    <t xml:space="preserve">REHABILITATION DU POSTE TRANSFORMATEUR DE L'ECLAIRAGE PUBLIC AVEC REMPLACEMENT DU CIS EN COUPURE D'ARTERE </t>
  </si>
  <si>
    <t>Litre de carburant gazoil</t>
  </si>
  <si>
    <t>Prestation liée au ravitaillement</t>
  </si>
  <si>
    <t>Presi</t>
  </si>
  <si>
    <t xml:space="preserve">Frais de surveillance du Groupe Electrogène </t>
  </si>
  <si>
    <t>Manutention et livraison du GE SDMO 110 KVA sur site</t>
  </si>
  <si>
    <t>SOUS TOTAL I</t>
  </si>
  <si>
    <t>SOUS TOTAL II</t>
  </si>
  <si>
    <t>SOUS TOTAL III</t>
  </si>
  <si>
    <t>SOUS TOTAL IV</t>
  </si>
  <si>
    <t>TOTAL HT</t>
  </si>
  <si>
    <r>
      <rPr>
        <b/>
        <sz val="12"/>
        <rFont val="Garamond"/>
        <family val="1"/>
      </rPr>
      <t>Validité de l'offre :</t>
    </r>
    <r>
      <rPr>
        <sz val="12"/>
        <rFont val="Garamond"/>
        <family val="1"/>
      </rPr>
      <t xml:space="preserve"> 01 Mois</t>
    </r>
  </si>
  <si>
    <t>Suite 1/4 du devis 0328/2025</t>
  </si>
  <si>
    <t>Suite 2/4 du devis 0328/2025</t>
  </si>
  <si>
    <t>Suite 3/4 du devis 0328/2025</t>
  </si>
  <si>
    <t>Suite 4/4 du devis 0328/2025</t>
  </si>
  <si>
    <t>TRAVAUX D'ELECTRICITE SUR LE 4EME PONT D'ABIDJAN</t>
  </si>
  <si>
    <t>ALIMENTATION DE L'ECLAIRAGE PUBLIC</t>
  </si>
  <si>
    <t>Un milliard trois cent vingt-trois millions sept cent quatre-vingt-cinq mille neuf cent quatre-vingt-sept Francs CFA</t>
  </si>
  <si>
    <t>DEVIS N°0328/2025</t>
  </si>
  <si>
    <t>Date : 15/04/2025</t>
  </si>
  <si>
    <t>Câble HFG 4x25mm²</t>
  </si>
  <si>
    <t>DEVIS N°0328/2025:TRAVAUX D'ELECTRICITE SUR LE 4EME PONT D'ABIDJAN</t>
  </si>
  <si>
    <t>ÉTENDU DES TRAVAUX A RÉALISER</t>
  </si>
  <si>
    <t xml:space="preserve">1.Étude de l'installation existante et d'amélioration </t>
  </si>
  <si>
    <t>2.Dépose de l'installation existante (candélabres)</t>
  </si>
  <si>
    <t xml:space="preserve">3.Réservation des nouveau passages de câbles </t>
  </si>
  <si>
    <t>4.Réalisation des massifs supports de candélabres</t>
  </si>
  <si>
    <t xml:space="preserve">5.Déroulage et passage des nouveau câbles d'alimentation </t>
  </si>
  <si>
    <t xml:space="preserve">6.Réalisation du système de protection des câbles </t>
  </si>
  <si>
    <t xml:space="preserve">7.Levage et pose des candélabres suivi du raccordement </t>
  </si>
  <si>
    <t>8.Câblage et pose des coffrets de protection des départs</t>
  </si>
  <si>
    <t>Date : 23/04/2025</t>
  </si>
  <si>
    <t xml:space="preserve">9.Contrôle de l'installation et mise en service </t>
  </si>
  <si>
    <t xml:space="preserve">10.Recollement de l'installation </t>
  </si>
  <si>
    <t xml:space="preserve">TRAVAUX DE REPRISE DES INSTALLATIONS DE L'ÉCLAIRAGE PUBLIC </t>
  </si>
  <si>
    <t>AXE  SEBREKO - PÉAGE</t>
  </si>
  <si>
    <t>Peinture antirouille</t>
  </si>
  <si>
    <t>AXE PÉAGE - SEBREKO</t>
  </si>
  <si>
    <t>AXE PÉAGE - ADJAMÉ/ ADJAMÉ - PÉAGE</t>
  </si>
  <si>
    <t>Condamnation des trappes sur les candélabres</t>
  </si>
  <si>
    <t>Câble HGE 3x70mm² +35</t>
  </si>
  <si>
    <t>C.15</t>
  </si>
  <si>
    <t>TRAVAUX TGBT - TRANSFO - NICHE /ADJAMÉ - SEBROKO - PÉAGE</t>
  </si>
  <si>
    <t>Répartiteur 4P125A</t>
  </si>
  <si>
    <t xml:space="preserve">Peigne de câblage triphasé </t>
  </si>
  <si>
    <t xml:space="preserve">Vis et écrou clips </t>
  </si>
  <si>
    <t>AXE PÉAGE - YOPOUGON  16e arrondissement</t>
  </si>
  <si>
    <t xml:space="preserve">AXE YOPOUGON 16e arrondissement - PÉAGE </t>
  </si>
  <si>
    <t>Mise à disposition d'échafaudage de 30 mètres</t>
  </si>
  <si>
    <t>Mise à disposition de nacelle d'accès en hauteur 30 mètres</t>
  </si>
  <si>
    <t xml:space="preserve">peigne de câblage triphasé </t>
  </si>
  <si>
    <t xml:space="preserve">RÉHABILITATION DU POSTE TRANSFORMATEUR DE L'EP AVEC REMPLACEMENT DU CIS </t>
  </si>
  <si>
    <t>II.1</t>
  </si>
  <si>
    <t>II.2</t>
  </si>
  <si>
    <t xml:space="preserve">Cellule Arrivée/Depart Cosmos L 24KV - de type GIS  </t>
  </si>
  <si>
    <t>II.3</t>
  </si>
  <si>
    <t xml:space="preserve">Cellule MT Type GIS Couplage Transfo Cgm Cosmos Q 24KV </t>
  </si>
  <si>
    <t>II.4</t>
  </si>
  <si>
    <t>II.5</t>
  </si>
  <si>
    <t>Jeu de fusible à couteau</t>
  </si>
  <si>
    <t>II.6</t>
  </si>
  <si>
    <t xml:space="preserve">Jeu de 03 bornes embrochables équerre 24kV 240mm² </t>
  </si>
  <si>
    <t>II.7</t>
  </si>
  <si>
    <t>II.8</t>
  </si>
  <si>
    <t>II.9</t>
  </si>
  <si>
    <t xml:space="preserve">F/P  Câble CIS 240mm² 24kV </t>
  </si>
  <si>
    <t xml:space="preserve">Déroulage et tirage du câble CIS </t>
  </si>
  <si>
    <t>Tuyau PVC diamètre 75</t>
  </si>
  <si>
    <t xml:space="preserve">Mains d'œuvre de fonçage </t>
  </si>
  <si>
    <t>Tuyau en acier galva diamètre 110  Ep 5mm</t>
  </si>
  <si>
    <t xml:space="preserve">Travaux de ferronnerie de pose tuyau acier galva </t>
  </si>
  <si>
    <t>II.10</t>
  </si>
  <si>
    <t>II.11</t>
  </si>
  <si>
    <t>II.12</t>
  </si>
  <si>
    <t xml:space="preserve">Épandage de sable </t>
  </si>
  <si>
    <t>II.13</t>
  </si>
  <si>
    <t>II.14</t>
  </si>
  <si>
    <t>II.15</t>
  </si>
  <si>
    <t>II.16</t>
  </si>
  <si>
    <t>II.17</t>
  </si>
  <si>
    <t>II.18</t>
  </si>
  <si>
    <t>II.19</t>
  </si>
  <si>
    <t>II.20</t>
  </si>
  <si>
    <t xml:space="preserve">TRAVAUX DE RENFORCEMENT DE L'ÉCLAIRAGE DU DESSOUS DE L'ÉCHANGEUR COTE ATTÉCOUBÉ </t>
  </si>
  <si>
    <t>ÉCLAIRAGE SOUS ÉCHANGEUR ET RIVE DESCENTE DU PONT ATTÉCOUBÉ</t>
  </si>
  <si>
    <t>F/P HIGH BAY UFO  led 150W 4000k sous échangeur</t>
  </si>
  <si>
    <t>F/P Câble HG1000 5x25mm2 (Compteur EP - projecteurs)</t>
  </si>
  <si>
    <t xml:space="preserve">Fouille pour passage de câble + lit de sable </t>
  </si>
  <si>
    <t>F/P de grillage avertisseur orange 0,4m</t>
  </si>
  <si>
    <t>F/P Béton de protection câble</t>
  </si>
  <si>
    <t xml:space="preserve">Construction de Niche compteur EP + porte de protection </t>
  </si>
  <si>
    <t>F/P Disjoncteur de départ éclairage sous échangeur 4P  63A courbe C</t>
  </si>
  <si>
    <t>F/P  Tuyau galva diamètre 63 de protection du câble sur le pont et descente</t>
  </si>
  <si>
    <t>F/P Cable d'alimentation des lampes  HG1000   3x1,5mm²</t>
  </si>
  <si>
    <t xml:space="preserve">F/P  Tuyau PVC 50 </t>
  </si>
  <si>
    <t>Lg</t>
  </si>
  <si>
    <t>F/P Tube iro diam 11</t>
  </si>
  <si>
    <t>F/P  Collier isophonique diamètre 50</t>
  </si>
  <si>
    <t>F/P  Collier Atlas diam 25</t>
  </si>
  <si>
    <t>F/P  Accessoires divers de pose (cheville N°8, N°12, tirefond N°8, collier, cheville N°12, cheville HKD, dominos, etc)</t>
  </si>
  <si>
    <t>A.15</t>
  </si>
  <si>
    <t xml:space="preserve">F/P  Raccord BT 25mm² </t>
  </si>
  <si>
    <t>A.16</t>
  </si>
  <si>
    <t xml:space="preserve">Location de nacelle télescopique de 25m </t>
  </si>
  <si>
    <t>J</t>
  </si>
  <si>
    <t>ÉCLAIRAGE SOUS ÉCHANGEUR COTE MONTÉE DU PONT ATTÉCOUBÉ</t>
  </si>
  <si>
    <t xml:space="preserve"> Mât H22 en acier galva  à couronne mobile diamètre 1,5m avec gabarit de montage et les tiges de scellement </t>
  </si>
  <si>
    <t xml:space="preserve">Fouille, ferraillage, coffrage,  béton dosé,  coulage,  décoffrage et point diament. </t>
  </si>
  <si>
    <t>Assemblage et levage</t>
  </si>
  <si>
    <t>Pose des lampes, raccordement et câblage des protections</t>
  </si>
  <si>
    <t>F/P de câble d'alimentation des projecteur titanex 3x1,5mm²</t>
  </si>
  <si>
    <t xml:space="preserve">Location de grue PPM 30T pour levage du marge </t>
  </si>
  <si>
    <t xml:space="preserve"> Mât H20 en acier galva  à couronne mobile diamètre 1,5m avec gabarit de montage et les tiges de scellement </t>
  </si>
  <si>
    <t>F/P Projecteur led 500W 4000k 150lm pour les mâts</t>
  </si>
  <si>
    <t xml:space="preserve">F/P  Cable HFG1000  4x35mm²   départ compteur EP - 1er mât  </t>
  </si>
  <si>
    <t>B.15</t>
  </si>
  <si>
    <t>F/P  Câble HFG1000 4x16mm²  départ 1er mât - Mât 2, mât 3</t>
  </si>
  <si>
    <t>B.16</t>
  </si>
  <si>
    <t>B.17</t>
  </si>
  <si>
    <t>Construction d'une Niche coffret alimentation des départ mat1, 2, 3</t>
  </si>
  <si>
    <t>B.18</t>
  </si>
  <si>
    <t>F/P  Disjoncteur de départ éclairage sous échangeur 4P  63A courbe C</t>
  </si>
  <si>
    <t>B.19</t>
  </si>
  <si>
    <t xml:space="preserve">F/P  Cuivre nu 29mm² </t>
  </si>
  <si>
    <t>B.20</t>
  </si>
  <si>
    <t xml:space="preserve">Tranchée pour le passage des câbles </t>
  </si>
  <si>
    <t>B.21</t>
  </si>
  <si>
    <t>Travaux de fonçage pour passage de câble du mat 3 y compris tuyau PVC</t>
  </si>
  <si>
    <t>B.22</t>
  </si>
  <si>
    <t xml:space="preserve">F/P   Bornier ferrel 95mm² </t>
  </si>
  <si>
    <t>B.23</t>
  </si>
  <si>
    <t xml:space="preserve">F/P Coffret étanche 16 modules Legrand </t>
  </si>
  <si>
    <t>B.24</t>
  </si>
  <si>
    <t xml:space="preserve">F/P  Disjoncteur 4P  25A  </t>
  </si>
  <si>
    <t>B.25</t>
  </si>
  <si>
    <t>F/P  DPN 10A  6kA  courbe C</t>
  </si>
  <si>
    <t>B.26</t>
  </si>
  <si>
    <t>F/P  Gaine TPC 63</t>
  </si>
  <si>
    <t>B.27</t>
  </si>
  <si>
    <t>F/P  Accessoire divers de câblage (fil souple, embout, presse étoupe, collier)</t>
  </si>
  <si>
    <t>B.28</t>
  </si>
  <si>
    <t>Étude des installations (éclairement, massifs, bilan de puissance, plan et schemas)</t>
  </si>
  <si>
    <t xml:space="preserve">RÉSEAU DE LIAISON COMPTEUR EP - NICHE MAT </t>
  </si>
  <si>
    <t>F/P  Tuyau galva diamètre 63 de protection du câble descente pont</t>
  </si>
  <si>
    <t>F/P  Tuyau PVC diamètre 63 de protection du câble sous le pont</t>
  </si>
  <si>
    <t xml:space="preserve">Construction de la niche coffret EP en béton armée </t>
  </si>
  <si>
    <t xml:space="preserve">F/P Coffret étanche métallique 900x600x300  + platine Legrand </t>
  </si>
  <si>
    <t xml:space="preserve">F/P  Disjoncteur 4P  63A de tête coffret mat  </t>
  </si>
  <si>
    <t xml:space="preserve">F/P  Disjoncteur 4P  25A départ mâts </t>
  </si>
  <si>
    <t>F/P  Interrupteur Différentiel 4P-25A</t>
  </si>
  <si>
    <t>F/P  Répartiteur 4P-125A</t>
  </si>
  <si>
    <t xml:space="preserve">F/P  Divers matériels de pose et raccordement du coffret </t>
  </si>
  <si>
    <t xml:space="preserve">F/P  Grillage avertisseur </t>
  </si>
  <si>
    <t>Rlx</t>
  </si>
  <si>
    <t>F/P  Disjoncteur parafoudre 4P-160A NSX</t>
  </si>
  <si>
    <t>F/P  Parafoudre 4P-40KA   Type T1-T2</t>
  </si>
  <si>
    <t xml:space="preserve">FOURNITURE ET POSE DE PARATONNERRE </t>
  </si>
  <si>
    <t>F/P  Paratonnerre inox SATELIT PDA SAT+G2-6000</t>
  </si>
  <si>
    <t>F/P  Cuivre ETAME 30X2mm</t>
  </si>
  <si>
    <t>F/P  Manchon S+G2</t>
  </si>
  <si>
    <t>F/P  Raccord PDA conducteur 3 PCS</t>
  </si>
  <si>
    <t>F/P  Gaine de protection 2M  Fixation</t>
  </si>
  <si>
    <t>F/P  Compteur de foudre</t>
  </si>
  <si>
    <t xml:space="preserve">F/P  Joint de control </t>
  </si>
  <si>
    <t>F/P  Piquet de terre 1,5</t>
  </si>
  <si>
    <t>F/P  Cuivre nu diamètre 29</t>
  </si>
  <si>
    <t xml:space="preserve">F/P  Raccord inox plat </t>
  </si>
  <si>
    <t xml:space="preserve">F/P  Regard de visite </t>
  </si>
  <si>
    <t>F/P  Balise de signalisation lumineuse</t>
  </si>
  <si>
    <t xml:space="preserve">F/P  Patte OI </t>
  </si>
  <si>
    <t>F/P  Feuillard rouleaux</t>
  </si>
  <si>
    <t xml:space="preserve">F/P  Support de relevage et fixation paratonnerre  galva </t>
  </si>
  <si>
    <t>F/P  Accessoires divers de pose (vis, boulon, barbon, sel, rivets, etc)</t>
  </si>
  <si>
    <t>ALIMENTATION DE L'ÉCLAIRAGE PUBLIC</t>
  </si>
  <si>
    <t>Tirefond n°8</t>
  </si>
  <si>
    <t>V</t>
  </si>
  <si>
    <t>RAVITAILLEMENT EN CARBURANT DU GE SDMO 110 KVA ALIMENTANT PROVISOIREMENT L'EP</t>
  </si>
  <si>
    <t>Litre de carburant gasoil</t>
  </si>
  <si>
    <t xml:space="preserve">Frais de surveillance du Groupe Électrogène </t>
  </si>
  <si>
    <r>
      <rPr>
        <b/>
        <sz val="14"/>
        <rFont val="Garamond"/>
        <family val="1"/>
      </rPr>
      <t>Validité de l'offre :</t>
    </r>
    <r>
      <rPr>
        <sz val="14"/>
        <rFont val="Garamond"/>
        <family val="1"/>
      </rPr>
      <t xml:space="preserve"> 01 Mois</t>
    </r>
  </si>
  <si>
    <t>SOUS TOTAL V</t>
  </si>
  <si>
    <t>VI</t>
  </si>
  <si>
    <t>Frais de contrôle et  prestation CI-Energie - 6% montant du devis</t>
  </si>
  <si>
    <t>Un milliard cinq cent quatre-vingt treize millions huit cent quinze mille quatre cent seize Francs CFA</t>
  </si>
  <si>
    <t>SERVICE 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</si>
</sst>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\ _C_F_A_-;\-* #,##0\ _C_F_A_-;_-* &quot;-&quot;\ _C_F_A_-;_-@_-"/>
    <numFmt numFmtId="165" formatCode="_-* #,##0.00\ _C_F_A_-;\-* #,##0.00\ _C_F_A_-;_-* &quot;-&quot;??\ _C_F_A_-;_-@_-"/>
    <numFmt numFmtId="166" formatCode="_-* #,##0\ _€_-;\-* #,##0\ _€_-;_-* &quot;-&quot;\ _€_-;_-@_-"/>
    <numFmt numFmtId="167" formatCode="_-* #,##0.00\ _€_-;\-* #,##0.00\ _€_-;_-* &quot;-&quot;??\ _€_-;_-@_-"/>
    <numFmt numFmtId="168" formatCode="&quot;Rp&quot;#,##0.00_);\(&quot;Rp&quot;#,##0.00\)"/>
    <numFmt numFmtId="169" formatCode="_-* #,##0\ _€_-;\-* #,##0\ _€_-;_-* &quot;-&quot;??\ _€_-;_-@_-"/>
    <numFmt numFmtId="170" formatCode="_(* #,##0_);_(* \(#,##0\);_(* &quot;-&quot;_);_(@_)"/>
    <numFmt numFmtId="171" formatCode="0.0%"/>
    <numFmt numFmtId="172" formatCode="_(* #,##0.00_);_(* \(#,##0.00\);_(* &quot;-&quot;??_);_(@_)"/>
    <numFmt numFmtId="173" formatCode="_-* #,##0.0\ _€_-;\-* #,##0.0\ _€_-;_-* &quot;-&quot;??\ _€_-;_-@_-"/>
    <numFmt numFmtId="174" formatCode="_-* #,##0.00\ _F_-;\-* #,##0.00\ _F_-;_-* &quot;-&quot;??\ _F_-;_-@_-"/>
    <numFmt numFmtId="175" formatCode="_-* #,##0.00\ _€_-;\-* #,##0.00\ _€_-;_-* &quot;-&quot;\ _€_-;_-@_-"/>
    <numFmt numFmtId="176" formatCode="0.000%"/>
    <numFmt numFmtId="177" formatCode="0.0000000%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Garamond"/>
      <family val="1"/>
    </font>
    <font>
      <b/>
      <sz val="20"/>
      <color theme="1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12"/>
      <color theme="1"/>
      <name val="Garamond"/>
      <family val="1"/>
    </font>
    <font>
      <sz val="12"/>
      <color theme="1"/>
      <name val="Garamond"/>
      <family val="1"/>
    </font>
    <font>
      <b/>
      <sz val="12"/>
      <name val="Garamond"/>
      <family val="1"/>
    </font>
    <font>
      <sz val="11"/>
      <color theme="1"/>
      <name val="Garamond"/>
      <family val="1"/>
    </font>
    <font>
      <b/>
      <sz val="12"/>
      <color theme="1"/>
      <name val="Garamond"/>
      <family val="1"/>
    </font>
    <font>
      <b/>
      <sz val="18"/>
      <color theme="1"/>
      <name val="Garamond"/>
      <family val="1"/>
    </font>
    <font>
      <b/>
      <u/>
      <sz val="12"/>
      <color theme="0"/>
      <name val="Garamond"/>
      <family val="1"/>
    </font>
    <font>
      <b/>
      <sz val="12"/>
      <color rgb="FFFF0000"/>
      <name val="Garamond"/>
      <family val="1"/>
    </font>
    <font>
      <b/>
      <sz val="12"/>
      <color theme="0"/>
      <name val="Garamond"/>
      <family val="1"/>
    </font>
    <font>
      <sz val="12"/>
      <color theme="0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11"/>
      <color rgb="FF000000"/>
      <name val="Calibri"/>
      <family val="2"/>
    </font>
    <font>
      <sz val="14"/>
      <name val="Calibri"/>
      <family val="2"/>
      <scheme val="minor"/>
    </font>
    <font>
      <b/>
      <sz val="14"/>
      <name val="Garamond"/>
      <family val="1"/>
    </font>
    <font>
      <b/>
      <u/>
      <sz val="14"/>
      <color theme="0"/>
      <name val="Garamond"/>
      <family val="1"/>
    </font>
    <font>
      <b/>
      <sz val="16"/>
      <color rgb="FFFF0000"/>
      <name val="Garamond"/>
      <family val="1"/>
    </font>
    <font>
      <sz val="12"/>
      <color rgb="FFFF0000"/>
      <name val="Garamond"/>
      <family val="1"/>
    </font>
    <font>
      <sz val="11"/>
      <name val="Garamond"/>
      <family val="1"/>
    </font>
    <font>
      <sz val="12"/>
      <color theme="1"/>
      <name val="Garamond"/>
      <family val="1"/>
    </font>
    <font>
      <sz val="12"/>
      <name val="Garamond"/>
      <family val="1"/>
    </font>
    <font>
      <u/>
      <sz val="12"/>
      <color theme="1"/>
      <name val="Garamond"/>
      <family val="1"/>
    </font>
    <font>
      <b/>
      <u/>
      <sz val="12"/>
      <color theme="1"/>
      <name val="Garamond"/>
      <family val="1"/>
    </font>
    <font>
      <i/>
      <sz val="12"/>
      <name val="Garamond"/>
      <family val="1"/>
    </font>
    <font>
      <i/>
      <u/>
      <sz val="12"/>
      <color theme="1"/>
      <name val="Garamond"/>
      <family val="1"/>
    </font>
    <font>
      <b/>
      <i/>
      <sz val="12"/>
      <name val="Garamond"/>
      <family val="1"/>
    </font>
    <font>
      <sz val="14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sz val="14"/>
      <color rgb="FFFF0000"/>
      <name val="Garamond"/>
      <family val="1"/>
    </font>
    <font>
      <b/>
      <i/>
      <sz val="14"/>
      <name val="Garamond"/>
      <family val="1"/>
    </font>
    <font>
      <i/>
      <sz val="14"/>
      <name val="Garamond"/>
      <family val="1"/>
    </font>
    <font>
      <sz val="14"/>
      <color rgb="FF000000"/>
      <name val="Garamond"/>
      <family val="1"/>
    </font>
    <font>
      <b/>
      <sz val="14"/>
      <color theme="0"/>
      <name val="Garamond"/>
      <family val="1"/>
    </font>
    <font>
      <i/>
      <u/>
      <sz val="14"/>
      <color theme="1"/>
      <name val="Garamond"/>
      <family val="1"/>
    </font>
    <font>
      <i/>
      <sz val="14"/>
      <color theme="1"/>
      <name val="Garamond"/>
      <family val="1"/>
    </font>
    <font>
      <b/>
      <u/>
      <sz val="14"/>
      <color theme="1"/>
      <name val="Garamond"/>
      <family val="1"/>
    </font>
  </fonts>
  <fills count="23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3" fillId="0" borderId="0" applyFill="0" applyBorder="0" applyAlignment="0" applyProtection="0"/>
    <xf numFmtId="172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/>
    <xf numFmtId="172" fontId="3" fillId="0" borderId="0" applyFont="0" applyFill="0" applyBorder="0" applyAlignment="0" applyProtection="0"/>
    <xf numFmtId="0" fontId="1" fillId="0" borderId="0"/>
    <xf numFmtId="174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172" fontId="32" fillId="0" borderId="0">
      <protection locked="0"/>
    </xf>
    <xf numFmtId="166" fontId="1" fillId="0" borderId="0" applyFont="0" applyFill="0" applyBorder="0" applyAlignment="0" applyProtection="0"/>
  </cellStyleXfs>
  <cellXfs count="642">
    <xf numFmtId="0" fontId="0" fillId="0" borderId="0" xfId="0"/>
    <xf numFmtId="169" fontId="0" fillId="0" borderId="0" xfId="1" applyNumberFormat="1" applyFont="1"/>
    <xf numFmtId="169" fontId="2" fillId="0" borderId="0" xfId="1" applyNumberFormat="1" applyFont="1"/>
    <xf numFmtId="0" fontId="0" fillId="0" borderId="0" xfId="0" quotePrefix="1"/>
    <xf numFmtId="0" fontId="0" fillId="0" borderId="0" xfId="0" applyAlignment="1">
      <alignment horizontal="center" vertical="center"/>
    </xf>
    <xf numFmtId="0" fontId="2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9" fontId="0" fillId="0" borderId="0" xfId="2" applyFont="1"/>
    <xf numFmtId="171" fontId="0" fillId="0" borderId="0" xfId="2" applyNumberFormat="1" applyFont="1"/>
    <xf numFmtId="0" fontId="4" fillId="0" borderId="0" xfId="0" applyFont="1" applyAlignment="1">
      <alignment horizontal="right"/>
    </xf>
    <xf numFmtId="0" fontId="5" fillId="2" borderId="0" xfId="0" applyFont="1" applyFill="1" applyAlignment="1">
      <alignment horizontal="center" vertical="center"/>
    </xf>
    <xf numFmtId="169" fontId="0" fillId="0" borderId="0" xfId="1" applyNumberFormat="1" applyFont="1" applyAlignment="1">
      <alignment horizontal="right" wrapText="1"/>
    </xf>
    <xf numFmtId="0" fontId="0" fillId="0" borderId="0" xfId="0" applyAlignment="1">
      <alignment horizontal="left" vertical="center"/>
    </xf>
    <xf numFmtId="2" fontId="0" fillId="0" borderId="0" xfId="0" applyNumberFormat="1"/>
    <xf numFmtId="167" fontId="0" fillId="0" borderId="0" xfId="1" applyFont="1" applyFill="1" applyBorder="1"/>
    <xf numFmtId="169" fontId="0" fillId="0" borderId="0" xfId="1" applyNumberFormat="1" applyFont="1" applyFill="1" applyBorder="1"/>
    <xf numFmtId="0" fontId="4" fillId="0" borderId="0" xfId="0" applyFont="1" applyAlignment="1">
      <alignment wrapText="1"/>
    </xf>
    <xf numFmtId="0" fontId="7" fillId="0" borderId="0" xfId="0" applyFont="1"/>
    <xf numFmtId="169" fontId="0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69" fontId="0" fillId="0" borderId="0" xfId="1" applyNumberFormat="1" applyFont="1" applyAlignment="1">
      <alignment horizontal="right" vertical="center" wrapText="1"/>
    </xf>
    <xf numFmtId="169" fontId="0" fillId="0" borderId="0" xfId="1" applyNumberFormat="1" applyFont="1" applyFill="1" applyBorder="1" applyAlignment="1">
      <alignment horizontal="center" vertical="center"/>
    </xf>
    <xf numFmtId="169" fontId="0" fillId="0" borderId="0" xfId="1" applyNumberFormat="1" applyFont="1" applyFill="1" applyBorder="1" applyAlignment="1">
      <alignment horizontal="right" vertical="center" wrapText="1"/>
    </xf>
    <xf numFmtId="167" fontId="0" fillId="0" borderId="0" xfId="1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169" fontId="9" fillId="0" borderId="0" xfId="0" applyNumberFormat="1" applyFont="1" applyAlignment="1">
      <alignment horizontal="right" vertical="center" wrapText="1"/>
    </xf>
    <xf numFmtId="9" fontId="0" fillId="0" borderId="0" xfId="2" applyFont="1" applyFill="1" applyBorder="1"/>
    <xf numFmtId="0" fontId="0" fillId="0" borderId="0" xfId="0" applyAlignment="1">
      <alignment horizontal="right" vertical="center" wrapText="1"/>
    </xf>
    <xf numFmtId="167" fontId="0" fillId="0" borderId="0" xfId="1" applyFont="1" applyAlignment="1">
      <alignment horizontal="right" wrapText="1"/>
    </xf>
    <xf numFmtId="0" fontId="0" fillId="0" borderId="0" xfId="0" applyAlignment="1">
      <alignment horizontal="left"/>
    </xf>
    <xf numFmtId="169" fontId="0" fillId="0" borderId="0" xfId="1" applyNumberFormat="1" applyFont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169" fontId="0" fillId="0" borderId="0" xfId="1" applyNumberFormat="1" applyFont="1" applyAlignment="1">
      <alignment horizontal="right" vertical="top" wrapText="1"/>
    </xf>
    <xf numFmtId="169" fontId="0" fillId="3" borderId="0" xfId="1" applyNumberFormat="1" applyFont="1" applyFill="1" applyAlignment="1">
      <alignment horizontal="right" vertical="top" wrapText="1"/>
    </xf>
    <xf numFmtId="9" fontId="0" fillId="3" borderId="0" xfId="2" applyFont="1" applyFill="1" applyAlignment="1">
      <alignment horizontal="right" vertical="top"/>
    </xf>
    <xf numFmtId="169" fontId="0" fillId="3" borderId="0" xfId="0" applyNumberFormat="1" applyFill="1" applyAlignment="1">
      <alignment horizontal="righ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/>
    </xf>
    <xf numFmtId="9" fontId="0" fillId="3" borderId="0" xfId="2" applyFont="1" applyFill="1" applyAlignment="1">
      <alignment vertical="top"/>
    </xf>
    <xf numFmtId="0" fontId="12" fillId="0" borderId="0" xfId="0" applyFont="1" applyAlignment="1">
      <alignment horizontal="right"/>
    </xf>
    <xf numFmtId="169" fontId="11" fillId="3" borderId="0" xfId="0" applyNumberFormat="1" applyFont="1" applyFill="1" applyAlignment="1">
      <alignment horizontal="right" vertical="center" wrapText="1"/>
    </xf>
    <xf numFmtId="0" fontId="0" fillId="0" borderId="0" xfId="0" quotePrefix="1" applyAlignment="1">
      <alignment horizontal="left" vertical="top"/>
    </xf>
    <xf numFmtId="169" fontId="0" fillId="0" borderId="0" xfId="1" applyNumberFormat="1" applyFont="1" applyAlignment="1">
      <alignment horizontal="left" vertical="top" wrapText="1"/>
    </xf>
    <xf numFmtId="169" fontId="0" fillId="0" borderId="0" xfId="1" applyNumberFormat="1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169" fontId="1" fillId="3" borderId="0" xfId="0" applyNumberFormat="1" applyFont="1" applyFill="1" applyAlignment="1">
      <alignment horizontal="right" wrapText="1"/>
    </xf>
    <xf numFmtId="171" fontId="0" fillId="3" borderId="0" xfId="2" applyNumberFormat="1" applyFont="1" applyFill="1" applyAlignment="1">
      <alignment vertical="top"/>
    </xf>
    <xf numFmtId="0" fontId="11" fillId="0" borderId="0" xfId="0" applyFont="1"/>
    <xf numFmtId="9" fontId="0" fillId="0" borderId="0" xfId="2" applyFont="1" applyAlignment="1">
      <alignment horizontal="right" wrapText="1"/>
    </xf>
    <xf numFmtId="0" fontId="13" fillId="0" borderId="0" xfId="0" applyFont="1" applyAlignment="1">
      <alignment horizontal="right" vertical="center"/>
    </xf>
    <xf numFmtId="169" fontId="14" fillId="3" borderId="0" xfId="0" applyNumberFormat="1" applyFont="1" applyFill="1" applyAlignment="1">
      <alignment horizontal="right" vertical="center" wrapText="1"/>
    </xf>
    <xf numFmtId="169" fontId="14" fillId="3" borderId="0" xfId="0" applyNumberFormat="1" applyFont="1" applyFill="1" applyAlignment="1">
      <alignment horizontal="right" wrapText="1"/>
    </xf>
    <xf numFmtId="0" fontId="14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/>
    </xf>
    <xf numFmtId="166" fontId="16" fillId="0" borderId="6" xfId="13" applyFont="1" applyFill="1" applyBorder="1" applyAlignment="1">
      <alignment horizontal="center" vertical="center"/>
    </xf>
    <xf numFmtId="167" fontId="20" fillId="13" borderId="0" xfId="0" applyNumberFormat="1" applyFont="1" applyFill="1" applyAlignment="1">
      <alignment vertical="center"/>
    </xf>
    <xf numFmtId="0" fontId="16" fillId="0" borderId="6" xfId="9" applyFont="1" applyBorder="1" applyAlignment="1">
      <alignment horizontal="center" vertical="center"/>
    </xf>
    <xf numFmtId="0" fontId="17" fillId="0" borderId="0" xfId="0" applyFont="1"/>
    <xf numFmtId="0" fontId="23" fillId="0" borderId="0" xfId="0" applyFont="1"/>
    <xf numFmtId="0" fontId="24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wrapText="1"/>
    </xf>
    <xf numFmtId="169" fontId="23" fillId="0" borderId="0" xfId="1" applyNumberFormat="1" applyFont="1" applyAlignment="1">
      <alignment horizontal="right" vertical="top" wrapText="1"/>
    </xf>
    <xf numFmtId="169" fontId="23" fillId="3" borderId="0" xfId="1" applyNumberFormat="1" applyFont="1" applyFill="1" applyAlignment="1">
      <alignment horizontal="right" vertical="top" wrapText="1"/>
    </xf>
    <xf numFmtId="0" fontId="23" fillId="0" borderId="0" xfId="0" applyFont="1" applyAlignment="1">
      <alignment horizontal="right" vertical="center" wrapText="1"/>
    </xf>
    <xf numFmtId="169" fontId="23" fillId="0" borderId="0" xfId="0" applyNumberFormat="1" applyFont="1" applyAlignment="1">
      <alignment horizontal="right" vertical="center" wrapText="1"/>
    </xf>
    <xf numFmtId="169" fontId="23" fillId="3" borderId="0" xfId="0" applyNumberFormat="1" applyFont="1" applyFill="1" applyAlignment="1">
      <alignment horizontal="right" vertical="center" wrapText="1"/>
    </xf>
    <xf numFmtId="169" fontId="23" fillId="0" borderId="0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169" fontId="23" fillId="0" borderId="0" xfId="1" applyNumberFormat="1" applyFont="1" applyFill="1" applyBorder="1"/>
    <xf numFmtId="0" fontId="24" fillId="0" borderId="0" xfId="0" applyFont="1" applyAlignment="1">
      <alignment wrapText="1"/>
    </xf>
    <xf numFmtId="167" fontId="23" fillId="0" borderId="0" xfId="1" applyFont="1" applyFill="1" applyBorder="1"/>
    <xf numFmtId="169" fontId="23" fillId="0" borderId="0" xfId="1" applyNumberFormat="1" applyFont="1" applyFill="1" applyBorder="1" applyAlignment="1">
      <alignment horizontal="right" vertical="center" wrapText="1"/>
    </xf>
    <xf numFmtId="0" fontId="25" fillId="4" borderId="0" xfId="0" applyFont="1" applyFill="1" applyAlignment="1">
      <alignment horizontal="left" vertical="center"/>
    </xf>
    <xf numFmtId="9" fontId="23" fillId="0" borderId="0" xfId="2" applyFont="1" applyFill="1" applyBorder="1"/>
    <xf numFmtId="167" fontId="23" fillId="0" borderId="0" xfId="1" applyFont="1" applyFill="1" applyBorder="1" applyAlignment="1">
      <alignment horizontal="center" vertical="center"/>
    </xf>
    <xf numFmtId="0" fontId="23" fillId="0" borderId="6" xfId="0" applyFont="1" applyBorder="1" applyAlignment="1">
      <alignment horizontal="left" vertical="top"/>
    </xf>
    <xf numFmtId="169" fontId="23" fillId="3" borderId="6" xfId="1" applyNumberFormat="1" applyFont="1" applyFill="1" applyBorder="1" applyAlignment="1">
      <alignment horizontal="right" vertical="top" wrapText="1"/>
    </xf>
    <xf numFmtId="10" fontId="23" fillId="0" borderId="0" xfId="2" applyNumberFormat="1" applyFont="1" applyAlignment="1">
      <alignment horizontal="center" vertical="top"/>
    </xf>
    <xf numFmtId="167" fontId="23" fillId="3" borderId="0" xfId="1" applyFont="1" applyFill="1" applyAlignment="1">
      <alignment vertical="top"/>
    </xf>
    <xf numFmtId="9" fontId="23" fillId="0" borderId="0" xfId="1" applyNumberFormat="1" applyFont="1" applyFill="1" applyBorder="1"/>
    <xf numFmtId="169" fontId="23" fillId="0" borderId="0" xfId="1" applyNumberFormat="1" applyFont="1" applyFill="1" applyBorder="1" applyAlignment="1">
      <alignment horizontal="right" vertical="top" wrapText="1"/>
    </xf>
    <xf numFmtId="169" fontId="23" fillId="3" borderId="0" xfId="1" applyNumberFormat="1" applyFont="1" applyFill="1" applyBorder="1" applyAlignment="1">
      <alignment horizontal="right" vertical="top" wrapText="1"/>
    </xf>
    <xf numFmtId="169" fontId="23" fillId="0" borderId="6" xfId="1" applyNumberFormat="1" applyFont="1" applyFill="1" applyBorder="1" applyAlignment="1">
      <alignment horizontal="right" vertical="top" wrapText="1"/>
    </xf>
    <xf numFmtId="167" fontId="23" fillId="0" borderId="6" xfId="1" applyFont="1" applyFill="1" applyBorder="1" applyAlignment="1">
      <alignment horizontal="right" vertical="top" wrapText="1"/>
    </xf>
    <xf numFmtId="9" fontId="23" fillId="3" borderId="0" xfId="2" applyFont="1" applyFill="1" applyBorder="1" applyAlignment="1">
      <alignment vertical="top"/>
    </xf>
    <xf numFmtId="167" fontId="24" fillId="0" borderId="0" xfId="0" applyNumberFormat="1" applyFont="1" applyAlignment="1">
      <alignment horizontal="right"/>
    </xf>
    <xf numFmtId="167" fontId="23" fillId="3" borderId="0" xfId="0" applyNumberFormat="1" applyFont="1" applyFill="1" applyAlignment="1">
      <alignment horizontal="right" vertical="center" wrapText="1"/>
    </xf>
    <xf numFmtId="2" fontId="23" fillId="0" borderId="0" xfId="0" applyNumberFormat="1" applyFont="1"/>
    <xf numFmtId="0" fontId="16" fillId="4" borderId="0" xfId="0" applyFont="1" applyFill="1"/>
    <xf numFmtId="0" fontId="16" fillId="13" borderId="0" xfId="0" applyFont="1" applyFill="1"/>
    <xf numFmtId="0" fontId="24" fillId="8" borderId="6" xfId="0" applyFont="1" applyFill="1" applyBorder="1"/>
    <xf numFmtId="0" fontId="21" fillId="0" borderId="0" xfId="0" applyFont="1" applyAlignment="1">
      <alignment horizontal="center" vertical="center"/>
    </xf>
    <xf numFmtId="0" fontId="21" fillId="4" borderId="0" xfId="0" applyFont="1" applyFill="1"/>
    <xf numFmtId="0" fontId="21" fillId="0" borderId="0" xfId="0" applyFont="1"/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169" fontId="21" fillId="0" borderId="6" xfId="1" applyNumberFormat="1" applyFont="1" applyBorder="1" applyAlignment="1">
      <alignment vertical="center"/>
    </xf>
    <xf numFmtId="10" fontId="21" fillId="0" borderId="6" xfId="2" applyNumberFormat="1" applyFont="1" applyBorder="1" applyAlignment="1">
      <alignment horizontal="center" vertical="center"/>
    </xf>
    <xf numFmtId="0" fontId="21" fillId="4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2" fillId="9" borderId="6" xfId="0" quotePrefix="1" applyFont="1" applyFill="1" applyBorder="1" applyAlignment="1">
      <alignment horizontal="center"/>
    </xf>
    <xf numFmtId="0" fontId="22" fillId="9" borderId="6" xfId="0" applyFont="1" applyFill="1" applyBorder="1" applyAlignment="1">
      <alignment horizontal="left"/>
    </xf>
    <xf numFmtId="169" fontId="22" fillId="9" borderId="6" xfId="1" applyNumberFormat="1" applyFont="1" applyFill="1" applyBorder="1" applyAlignment="1">
      <alignment horizontal="right"/>
    </xf>
    <xf numFmtId="10" fontId="22" fillId="9" borderId="6" xfId="2" applyNumberFormat="1" applyFont="1" applyFill="1" applyBorder="1" applyAlignment="1">
      <alignment horizontal="right"/>
    </xf>
    <xf numFmtId="169" fontId="21" fillId="4" borderId="0" xfId="0" applyNumberFormat="1" applyFont="1" applyFill="1"/>
    <xf numFmtId="0" fontId="16" fillId="10" borderId="6" xfId="0" quotePrefix="1" applyFont="1" applyFill="1" applyBorder="1" applyAlignment="1">
      <alignment horizontal="center"/>
    </xf>
    <xf numFmtId="0" fontId="22" fillId="10" borderId="6" xfId="0" applyFont="1" applyFill="1" applyBorder="1" applyAlignment="1">
      <alignment horizontal="left"/>
    </xf>
    <xf numFmtId="169" fontId="22" fillId="10" borderId="6" xfId="1" applyNumberFormat="1" applyFont="1" applyFill="1" applyBorder="1" applyAlignment="1">
      <alignment horizontal="right"/>
    </xf>
    <xf numFmtId="169" fontId="22" fillId="12" borderId="6" xfId="1" applyNumberFormat="1" applyFont="1" applyFill="1" applyBorder="1" applyAlignment="1">
      <alignment horizontal="right"/>
    </xf>
    <xf numFmtId="169" fontId="16" fillId="6" borderId="6" xfId="1" applyNumberFormat="1" applyFont="1" applyFill="1" applyBorder="1" applyAlignment="1">
      <alignment horizontal="right"/>
    </xf>
    <xf numFmtId="0" fontId="16" fillId="6" borderId="6" xfId="0" applyFont="1" applyFill="1" applyBorder="1" applyAlignment="1">
      <alignment horizontal="left"/>
    </xf>
    <xf numFmtId="0" fontId="24" fillId="7" borderId="6" xfId="0" quotePrefix="1" applyFont="1" applyFill="1" applyBorder="1" applyAlignment="1">
      <alignment horizontal="center"/>
    </xf>
    <xf numFmtId="0" fontId="24" fillId="7" borderId="6" xfId="0" applyFont="1" applyFill="1" applyBorder="1" applyAlignment="1">
      <alignment horizontal="left"/>
    </xf>
    <xf numFmtId="169" fontId="24" fillId="7" borderId="6" xfId="1" applyNumberFormat="1" applyFont="1" applyFill="1" applyBorder="1" applyAlignment="1">
      <alignment horizontal="right"/>
    </xf>
    <xf numFmtId="10" fontId="24" fillId="7" borderId="6" xfId="2" applyNumberFormat="1" applyFont="1" applyFill="1" applyBorder="1" applyAlignment="1">
      <alignment horizontal="right"/>
    </xf>
    <xf numFmtId="0" fontId="24" fillId="14" borderId="6" xfId="0" applyFont="1" applyFill="1" applyBorder="1" applyAlignment="1">
      <alignment horizontal="center"/>
    </xf>
    <xf numFmtId="0" fontId="24" fillId="14" borderId="6" xfId="0" applyFont="1" applyFill="1" applyBorder="1"/>
    <xf numFmtId="0" fontId="24" fillId="0" borderId="0" xfId="0" applyFont="1" applyAlignment="1">
      <alignment horizontal="center"/>
    </xf>
    <xf numFmtId="0" fontId="24" fillId="0" borderId="0" xfId="0" applyFont="1"/>
    <xf numFmtId="169" fontId="27" fillId="0" borderId="0" xfId="1" applyNumberFormat="1" applyFont="1" applyFill="1" applyBorder="1" applyAlignment="1">
      <alignment horizontal="right"/>
    </xf>
    <xf numFmtId="169" fontId="22" fillId="0" borderId="0" xfId="1" applyNumberFormat="1" applyFont="1" applyFill="1" applyBorder="1" applyAlignment="1">
      <alignment horizontal="right"/>
    </xf>
    <xf numFmtId="169" fontId="16" fillId="0" borderId="0" xfId="1" applyNumberFormat="1" applyFont="1" applyFill="1" applyBorder="1" applyAlignment="1">
      <alignment horizontal="right"/>
    </xf>
    <xf numFmtId="0" fontId="16" fillId="0" borderId="0" xfId="0" applyFont="1" applyAlignment="1">
      <alignment horizontal="left"/>
    </xf>
    <xf numFmtId="167" fontId="21" fillId="0" borderId="0" xfId="0" applyNumberFormat="1" applyFont="1"/>
    <xf numFmtId="0" fontId="24" fillId="0" borderId="0" xfId="0" applyFont="1" applyAlignment="1">
      <alignment horizontal="right" vertical="center"/>
    </xf>
    <xf numFmtId="169" fontId="21" fillId="0" borderId="0" xfId="1" applyNumberFormat="1" applyFont="1" applyAlignment="1">
      <alignment horizontal="right" vertical="center" wrapText="1"/>
    </xf>
    <xf numFmtId="0" fontId="21" fillId="0" borderId="0" xfId="0" applyFont="1" applyAlignment="1">
      <alignment horizontal="left"/>
    </xf>
    <xf numFmtId="169" fontId="21" fillId="0" borderId="0" xfId="1" applyNumberFormat="1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top" wrapText="1"/>
    </xf>
    <xf numFmtId="169" fontId="21" fillId="0" borderId="0" xfId="1" applyNumberFormat="1" applyFont="1" applyAlignment="1">
      <alignment horizontal="left" vertical="top"/>
    </xf>
    <xf numFmtId="10" fontId="21" fillId="3" borderId="0" xfId="2" applyNumberFormat="1" applyFont="1" applyFill="1" applyAlignment="1">
      <alignment horizontal="right" vertical="top" wrapText="1"/>
    </xf>
    <xf numFmtId="10" fontId="21" fillId="0" borderId="0" xfId="2" applyNumberFormat="1" applyFont="1" applyFill="1" applyBorder="1" applyAlignment="1">
      <alignment horizontal="right" vertical="center"/>
    </xf>
    <xf numFmtId="10" fontId="21" fillId="0" borderId="0" xfId="2" applyNumberFormat="1" applyFont="1" applyAlignment="1">
      <alignment horizontal="right" vertical="center"/>
    </xf>
    <xf numFmtId="169" fontId="21" fillId="3" borderId="7" xfId="1" applyNumberFormat="1" applyFont="1" applyFill="1" applyBorder="1" applyAlignment="1">
      <alignment horizontal="right" vertical="top" wrapText="1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center" vertical="top"/>
    </xf>
    <xf numFmtId="169" fontId="21" fillId="0" borderId="0" xfId="1" applyNumberFormat="1" applyFont="1" applyAlignment="1">
      <alignment horizontal="right" vertical="top" wrapText="1"/>
    </xf>
    <xf numFmtId="169" fontId="21" fillId="3" borderId="0" xfId="1" applyNumberFormat="1" applyFont="1" applyFill="1" applyAlignment="1">
      <alignment horizontal="right" vertical="top" wrapText="1"/>
    </xf>
    <xf numFmtId="169" fontId="21" fillId="0" borderId="0" xfId="1" applyNumberFormat="1" applyFont="1" applyAlignment="1">
      <alignment vertical="top"/>
    </xf>
    <xf numFmtId="0" fontId="24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169" fontId="21" fillId="0" borderId="0" xfId="0" applyNumberFormat="1" applyFont="1" applyAlignment="1">
      <alignment horizontal="right" vertical="center" wrapText="1"/>
    </xf>
    <xf numFmtId="169" fontId="21" fillId="3" borderId="0" xfId="0" applyNumberFormat="1" applyFont="1" applyFill="1" applyAlignment="1">
      <alignment horizontal="center" vertical="center" wrapText="1"/>
    </xf>
    <xf numFmtId="9" fontId="21" fillId="0" borderId="0" xfId="2" applyFont="1"/>
    <xf numFmtId="0" fontId="28" fillId="2" borderId="1" xfId="0" applyFont="1" applyFill="1" applyBorder="1" applyAlignment="1">
      <alignment horizontal="center" vertical="center"/>
    </xf>
    <xf numFmtId="167" fontId="21" fillId="0" borderId="0" xfId="1" applyFont="1"/>
    <xf numFmtId="0" fontId="29" fillId="2" borderId="0" xfId="0" applyFont="1" applyFill="1" applyAlignment="1">
      <alignment horizontal="left"/>
    </xf>
    <xf numFmtId="0" fontId="21" fillId="0" borderId="0" xfId="0" applyFont="1" applyAlignment="1">
      <alignment horizontal="left" wrapText="1"/>
    </xf>
    <xf numFmtId="167" fontId="21" fillId="0" borderId="0" xfId="1" applyFont="1" applyAlignment="1">
      <alignment vertical="center"/>
    </xf>
    <xf numFmtId="173" fontId="21" fillId="0" borderId="0" xfId="1" applyNumberFormat="1" applyFont="1" applyAlignment="1">
      <alignment horizontal="right" vertical="top" wrapText="1"/>
    </xf>
    <xf numFmtId="169" fontId="21" fillId="0" borderId="0" xfId="1" applyNumberFormat="1" applyFont="1" applyAlignment="1">
      <alignment horizontal="left" vertical="top" wrapText="1"/>
    </xf>
    <xf numFmtId="171" fontId="21" fillId="0" borderId="0" xfId="2" applyNumberFormat="1" applyFont="1" applyAlignment="1">
      <alignment horizontal="right" vertical="center" wrapText="1"/>
    </xf>
    <xf numFmtId="0" fontId="21" fillId="0" borderId="0" xfId="0" quotePrefix="1" applyFont="1"/>
    <xf numFmtId="169" fontId="21" fillId="3" borderId="0" xfId="0" applyNumberFormat="1" applyFont="1" applyFill="1" applyAlignment="1">
      <alignment horizontal="right" vertical="center" wrapText="1"/>
    </xf>
    <xf numFmtId="169" fontId="21" fillId="0" borderId="0" xfId="1" applyNumberFormat="1" applyFont="1"/>
    <xf numFmtId="169" fontId="21" fillId="0" borderId="0" xfId="1" applyNumberFormat="1" applyFont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quotePrefix="1" applyFont="1" applyAlignment="1">
      <alignment horizontal="center" vertical="top"/>
    </xf>
    <xf numFmtId="169" fontId="21" fillId="0" borderId="0" xfId="0" applyNumberFormat="1" applyFont="1"/>
    <xf numFmtId="0" fontId="24" fillId="0" borderId="0" xfId="0" applyFont="1" applyAlignment="1">
      <alignment vertical="center"/>
    </xf>
    <xf numFmtId="169" fontId="21" fillId="0" borderId="0" xfId="1" applyNumberFormat="1" applyFont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169" fontId="21" fillId="0" borderId="0" xfId="1" applyNumberFormat="1" applyFont="1" applyAlignment="1">
      <alignment horizontal="center" vertical="center"/>
    </xf>
    <xf numFmtId="169" fontId="21" fillId="0" borderId="0" xfId="1" applyNumberFormat="1" applyFont="1" applyAlignment="1">
      <alignment horizontal="left" vertical="center"/>
    </xf>
    <xf numFmtId="9" fontId="21" fillId="0" borderId="0" xfId="2" applyFont="1" applyAlignment="1">
      <alignment horizontal="center" vertical="center"/>
    </xf>
    <xf numFmtId="0" fontId="21" fillId="0" borderId="0" xfId="0" applyFont="1" applyAlignment="1">
      <alignment horizontal="center"/>
    </xf>
    <xf numFmtId="169" fontId="21" fillId="0" borderId="0" xfId="1" applyNumberFormat="1" applyFont="1" applyAlignment="1">
      <alignment horizontal="center"/>
    </xf>
    <xf numFmtId="169" fontId="21" fillId="0" borderId="0" xfId="1" applyNumberFormat="1" applyFont="1" applyAlignment="1">
      <alignment horizontal="left"/>
    </xf>
    <xf numFmtId="0" fontId="21" fillId="0" borderId="0" xfId="0" applyFont="1" applyAlignment="1">
      <alignment wrapText="1"/>
    </xf>
    <xf numFmtId="169" fontId="21" fillId="0" borderId="0" xfId="1" applyNumberFormat="1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quotePrefix="1" applyFont="1" applyAlignment="1">
      <alignment horizontal="center" vertical="center"/>
    </xf>
    <xf numFmtId="0" fontId="21" fillId="0" borderId="0" xfId="0" quotePrefix="1" applyFont="1" applyAlignment="1">
      <alignment horizontal="left" vertical="center"/>
    </xf>
    <xf numFmtId="9" fontId="21" fillId="0" borderId="0" xfId="2" applyFont="1" applyAlignment="1">
      <alignment vertical="center"/>
    </xf>
    <xf numFmtId="169" fontId="21" fillId="0" borderId="0" xfId="0" applyNumberFormat="1" applyFont="1" applyAlignment="1">
      <alignment horizontal="right" wrapText="1"/>
    </xf>
    <xf numFmtId="167" fontId="21" fillId="15" borderId="0" xfId="1" applyFont="1" applyFill="1" applyAlignment="1">
      <alignment vertical="top" wrapText="1"/>
    </xf>
    <xf numFmtId="167" fontId="21" fillId="0" borderId="0" xfId="1" applyFont="1" applyFill="1" applyAlignment="1">
      <alignment vertical="top" wrapText="1"/>
    </xf>
    <xf numFmtId="169" fontId="21" fillId="0" borderId="0" xfId="1" applyNumberFormat="1" applyFont="1" applyFill="1" applyAlignment="1">
      <alignment vertical="top" wrapText="1"/>
    </xf>
    <xf numFmtId="0" fontId="30" fillId="0" borderId="0" xfId="0" applyFont="1"/>
    <xf numFmtId="0" fontId="31" fillId="0" borderId="0" xfId="0" applyFont="1" applyAlignment="1">
      <alignment horizontal="right" vertical="center"/>
    </xf>
    <xf numFmtId="169" fontId="31" fillId="0" borderId="0" xfId="0" applyNumberFormat="1" applyFont="1" applyAlignment="1">
      <alignment horizontal="right" vertical="center"/>
    </xf>
    <xf numFmtId="169" fontId="30" fillId="3" borderId="0" xfId="0" applyNumberFormat="1" applyFont="1" applyFill="1" applyAlignment="1">
      <alignment horizontal="right" wrapText="1"/>
    </xf>
    <xf numFmtId="0" fontId="33" fillId="13" borderId="0" xfId="0" applyFont="1" applyFill="1" applyAlignment="1">
      <alignment horizontal="center"/>
    </xf>
    <xf numFmtId="0" fontId="34" fillId="13" borderId="6" xfId="0" applyFont="1" applyFill="1" applyBorder="1" applyAlignment="1">
      <alignment vertical="center"/>
    </xf>
    <xf numFmtId="0" fontId="33" fillId="4" borderId="0" xfId="0" applyFont="1" applyFill="1"/>
    <xf numFmtId="166" fontId="33" fillId="4" borderId="0" xfId="13" applyFont="1" applyFill="1"/>
    <xf numFmtId="169" fontId="36" fillId="8" borderId="6" xfId="1" applyNumberFormat="1" applyFont="1" applyFill="1" applyBorder="1" applyAlignment="1">
      <alignment horizontal="right"/>
    </xf>
    <xf numFmtId="10" fontId="36" fillId="0" borderId="0" xfId="2" applyNumberFormat="1" applyFont="1" applyFill="1" applyBorder="1" applyAlignment="1">
      <alignment horizontal="center" vertical="center"/>
    </xf>
    <xf numFmtId="169" fontId="34" fillId="8" borderId="6" xfId="1" applyNumberFormat="1" applyFont="1" applyFill="1" applyBorder="1" applyAlignment="1">
      <alignment horizontal="right"/>
    </xf>
    <xf numFmtId="0" fontId="16" fillId="13" borderId="6" xfId="9" applyFont="1" applyFill="1" applyBorder="1" applyAlignment="1">
      <alignment horizontal="center" vertical="center"/>
    </xf>
    <xf numFmtId="0" fontId="16" fillId="0" borderId="6" xfId="9" applyFont="1" applyBorder="1" applyAlignment="1">
      <alignment vertical="center" wrapText="1"/>
    </xf>
    <xf numFmtId="0" fontId="16" fillId="13" borderId="6" xfId="9" applyFont="1" applyFill="1" applyBorder="1" applyAlignment="1">
      <alignment vertical="center" wrapText="1"/>
    </xf>
    <xf numFmtId="0" fontId="16" fillId="0" borderId="6" xfId="9" applyFont="1" applyBorder="1" applyAlignment="1">
      <alignment vertical="center"/>
    </xf>
    <xf numFmtId="0" fontId="22" fillId="0" borderId="8" xfId="9" applyFont="1" applyBorder="1" applyAlignment="1">
      <alignment horizontal="center" vertical="center" wrapText="1"/>
    </xf>
    <xf numFmtId="0" fontId="22" fillId="0" borderId="9" xfId="9" applyFont="1" applyBorder="1" applyAlignment="1">
      <alignment horizontal="center" vertical="center" wrapText="1"/>
    </xf>
    <xf numFmtId="0" fontId="22" fillId="0" borderId="10" xfId="9" applyFont="1" applyBorder="1" applyAlignment="1">
      <alignment horizontal="center" vertical="center" wrapText="1"/>
    </xf>
    <xf numFmtId="0" fontId="27" fillId="0" borderId="6" xfId="9" applyFont="1" applyBorder="1" applyAlignment="1">
      <alignment vertical="center"/>
    </xf>
    <xf numFmtId="0" fontId="27" fillId="0" borderId="8" xfId="9" applyFont="1" applyBorder="1" applyAlignment="1">
      <alignment vertical="center"/>
    </xf>
    <xf numFmtId="0" fontId="16" fillId="0" borderId="8" xfId="9" applyFont="1" applyBorder="1" applyAlignment="1">
      <alignment vertical="center"/>
    </xf>
    <xf numFmtId="0" fontId="16" fillId="0" borderId="6" xfId="9" applyFont="1" applyBorder="1" applyAlignment="1">
      <alignment horizontal="center" vertical="top"/>
    </xf>
    <xf numFmtId="0" fontId="16" fillId="13" borderId="6" xfId="9" applyFont="1" applyFill="1" applyBorder="1" applyAlignment="1">
      <alignment horizontal="center" vertical="top"/>
    </xf>
    <xf numFmtId="0" fontId="37" fillId="0" borderId="6" xfId="9" applyFont="1" applyBorder="1" applyAlignment="1">
      <alignment horizontal="center" vertical="top"/>
    </xf>
    <xf numFmtId="0" fontId="22" fillId="0" borderId="6" xfId="9" applyFont="1" applyBorder="1" applyAlignment="1">
      <alignment horizontal="center" vertical="top"/>
    </xf>
    <xf numFmtId="0" fontId="22" fillId="0" borderId="8" xfId="9" applyFont="1" applyBorder="1" applyAlignment="1">
      <alignment horizontal="center" vertical="center"/>
    </xf>
    <xf numFmtId="0" fontId="22" fillId="0" borderId="9" xfId="9" applyFont="1" applyBorder="1" applyAlignment="1">
      <alignment horizontal="center" vertical="center"/>
    </xf>
    <xf numFmtId="167" fontId="23" fillId="0" borderId="0" xfId="1" applyFont="1" applyFill="1" applyBorder="1" applyAlignment="1">
      <alignment vertical="top"/>
    </xf>
    <xf numFmtId="9" fontId="23" fillId="0" borderId="0" xfId="2" applyFont="1" applyFill="1"/>
    <xf numFmtId="0" fontId="23" fillId="0" borderId="11" xfId="0" applyFont="1" applyBorder="1" applyAlignment="1">
      <alignment horizontal="left" vertical="top"/>
    </xf>
    <xf numFmtId="0" fontId="16" fillId="0" borderId="11" xfId="9" applyFont="1" applyBorder="1" applyAlignment="1">
      <alignment horizontal="center" vertical="top"/>
    </xf>
    <xf numFmtId="0" fontId="21" fillId="0" borderId="0" xfId="0" applyFont="1" applyAlignment="1">
      <alignment horizontal="center" vertical="top" wrapText="1"/>
    </xf>
    <xf numFmtId="0" fontId="16" fillId="8" borderId="9" xfId="1" applyNumberFormat="1" applyFont="1" applyFill="1" applyBorder="1" applyAlignment="1">
      <alignment horizontal="center" vertical="center" wrapText="1"/>
    </xf>
    <xf numFmtId="0" fontId="16" fillId="0" borderId="8" xfId="9" applyFont="1" applyBorder="1" applyAlignment="1">
      <alignment horizontal="left" vertical="top"/>
    </xf>
    <xf numFmtId="0" fontId="27" fillId="0" borderId="6" xfId="9" applyFont="1" applyBorder="1" applyAlignment="1">
      <alignment horizontal="left" vertical="top"/>
    </xf>
    <xf numFmtId="0" fontId="16" fillId="0" borderId="6" xfId="9" applyFont="1" applyBorder="1" applyAlignment="1">
      <alignment horizontal="left" vertical="top"/>
    </xf>
    <xf numFmtId="166" fontId="38" fillId="0" borderId="0" xfId="13" applyFont="1" applyFill="1" applyBorder="1" applyAlignment="1">
      <alignment horizontal="center"/>
    </xf>
    <xf numFmtId="166" fontId="38" fillId="0" borderId="0" xfId="13" applyFont="1" applyAlignment="1">
      <alignment horizontal="center"/>
    </xf>
    <xf numFmtId="166" fontId="16" fillId="0" borderId="6" xfId="13" applyFont="1" applyBorder="1" applyAlignment="1">
      <alignment horizontal="center" vertical="center"/>
    </xf>
    <xf numFmtId="166" fontId="16" fillId="13" borderId="6" xfId="13" applyFont="1" applyFill="1" applyBorder="1" applyAlignment="1">
      <alignment horizontal="center" vertical="center"/>
    </xf>
    <xf numFmtId="166" fontId="16" fillId="8" borderId="6" xfId="13" applyFont="1" applyFill="1" applyBorder="1" applyAlignment="1">
      <alignment horizontal="center" vertical="center"/>
    </xf>
    <xf numFmtId="166" fontId="22" fillId="0" borderId="10" xfId="13" applyFont="1" applyBorder="1" applyAlignment="1">
      <alignment horizontal="center" vertical="center"/>
    </xf>
    <xf numFmtId="166" fontId="16" fillId="0" borderId="10" xfId="13" applyFont="1" applyBorder="1" applyAlignment="1">
      <alignment horizontal="center" vertical="center"/>
    </xf>
    <xf numFmtId="166" fontId="16" fillId="8" borderId="10" xfId="13" applyFont="1" applyFill="1" applyBorder="1" applyAlignment="1">
      <alignment horizontal="center" vertical="center"/>
    </xf>
    <xf numFmtId="166" fontId="22" fillId="0" borderId="10" xfId="13" applyFont="1" applyBorder="1" applyAlignment="1">
      <alignment horizontal="center" vertical="center" wrapText="1"/>
    </xf>
    <xf numFmtId="166" fontId="22" fillId="0" borderId="9" xfId="13" applyFont="1" applyBorder="1" applyAlignment="1">
      <alignment horizontal="center" vertical="center"/>
    </xf>
    <xf numFmtId="166" fontId="16" fillId="0" borderId="6" xfId="13" applyFont="1" applyBorder="1" applyAlignment="1">
      <alignment horizontal="center" vertical="top" wrapText="1"/>
    </xf>
    <xf numFmtId="166" fontId="16" fillId="8" borderId="6" xfId="13" applyFont="1" applyFill="1" applyBorder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40" fillId="0" borderId="6" xfId="9" applyFont="1" applyBorder="1" applyAlignment="1">
      <alignment horizontal="left" vertical="top"/>
    </xf>
    <xf numFmtId="0" fontId="40" fillId="0" borderId="6" xfId="9" applyFont="1" applyBorder="1" applyAlignment="1">
      <alignment horizontal="center" vertical="top"/>
    </xf>
    <xf numFmtId="169" fontId="39" fillId="0" borderId="0" xfId="1" applyNumberFormat="1" applyFont="1" applyAlignment="1">
      <alignment horizontal="right" vertical="top" wrapText="1"/>
    </xf>
    <xf numFmtId="169" fontId="39" fillId="3" borderId="0" xfId="1" applyNumberFormat="1" applyFont="1" applyFill="1" applyAlignment="1">
      <alignment horizontal="right" vertical="top" wrapText="1"/>
    </xf>
    <xf numFmtId="169" fontId="39" fillId="0" borderId="0" xfId="1" applyNumberFormat="1" applyFont="1" applyAlignment="1">
      <alignment vertical="top"/>
    </xf>
    <xf numFmtId="10" fontId="39" fillId="3" borderId="0" xfId="2" applyNumberFormat="1" applyFont="1" applyFill="1" applyAlignment="1">
      <alignment horizontal="right" vertical="top" wrapText="1"/>
    </xf>
    <xf numFmtId="10" fontId="39" fillId="0" borderId="0" xfId="2" applyNumberFormat="1" applyFont="1" applyAlignment="1">
      <alignment horizontal="right" vertical="center"/>
    </xf>
    <xf numFmtId="0" fontId="16" fillId="8" borderId="6" xfId="9" applyFont="1" applyFill="1" applyBorder="1" applyAlignment="1">
      <alignment horizontal="center" vertical="center"/>
    </xf>
    <xf numFmtId="0" fontId="22" fillId="0" borderId="10" xfId="9" applyFont="1" applyBorder="1" applyAlignment="1">
      <alignment horizontal="center" vertical="center"/>
    </xf>
    <xf numFmtId="0" fontId="16" fillId="8" borderId="10" xfId="9" applyFont="1" applyFill="1" applyBorder="1" applyAlignment="1">
      <alignment horizontal="center" vertical="center"/>
    </xf>
    <xf numFmtId="0" fontId="16" fillId="0" borderId="6" xfId="13" applyNumberFormat="1" applyFont="1" applyFill="1" applyBorder="1" applyAlignment="1">
      <alignment horizontal="center" vertical="center"/>
    </xf>
    <xf numFmtId="0" fontId="16" fillId="8" borderId="9" xfId="9" applyFont="1" applyFill="1" applyBorder="1" applyAlignment="1">
      <alignment horizontal="center" vertical="center"/>
    </xf>
    <xf numFmtId="0" fontId="40" fillId="8" borderId="6" xfId="1" applyNumberFormat="1" applyFont="1" applyFill="1" applyBorder="1" applyAlignment="1">
      <alignment horizontal="center" vertical="top" wrapText="1"/>
    </xf>
    <xf numFmtId="0" fontId="16" fillId="8" borderId="9" xfId="1" applyNumberFormat="1" applyFont="1" applyFill="1" applyBorder="1" applyAlignment="1">
      <alignment horizontal="center" vertical="top" wrapText="1"/>
    </xf>
    <xf numFmtId="0" fontId="40" fillId="0" borderId="8" xfId="9" applyFont="1" applyBorder="1" applyAlignment="1">
      <alignment horizontal="left" vertical="top"/>
    </xf>
    <xf numFmtId="0" fontId="40" fillId="8" borderId="9" xfId="1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vertical="center"/>
    </xf>
    <xf numFmtId="166" fontId="16" fillId="0" borderId="0" xfId="13" applyFont="1" applyFill="1" applyAlignment="1">
      <alignment vertical="center"/>
    </xf>
    <xf numFmtId="166" fontId="16" fillId="0" borderId="0" xfId="13" applyFont="1" applyFill="1"/>
    <xf numFmtId="0" fontId="16" fillId="0" borderId="0" xfId="9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166" fontId="16" fillId="0" borderId="0" xfId="13" applyFont="1" applyAlignment="1">
      <alignment vertical="center"/>
    </xf>
    <xf numFmtId="166" fontId="21" fillId="0" borderId="0" xfId="13" applyFont="1" applyFill="1"/>
    <xf numFmtId="0" fontId="22" fillId="0" borderId="0" xfId="0" applyFont="1"/>
    <xf numFmtId="166" fontId="21" fillId="0" borderId="0" xfId="13" applyFont="1" applyAlignment="1">
      <alignment vertical="center"/>
    </xf>
    <xf numFmtId="14" fontId="21" fillId="0" borderId="0" xfId="0" applyNumberFormat="1" applyFont="1" applyAlignment="1">
      <alignment horizontal="center" vertical="center"/>
    </xf>
    <xf numFmtId="166" fontId="21" fillId="0" borderId="0" xfId="13" applyFont="1"/>
    <xf numFmtId="166" fontId="21" fillId="0" borderId="0" xfId="13" applyFont="1" applyFill="1" applyAlignment="1">
      <alignment horizontal="center" vertical="center"/>
    </xf>
    <xf numFmtId="166" fontId="21" fillId="0" borderId="0" xfId="13" applyFont="1" applyAlignment="1">
      <alignment horizontal="center" vertical="center"/>
    </xf>
    <xf numFmtId="0" fontId="22" fillId="0" borderId="6" xfId="9" applyFont="1" applyBorder="1" applyAlignment="1">
      <alignment horizontal="center" vertical="center"/>
    </xf>
    <xf numFmtId="3" fontId="22" fillId="0" borderId="6" xfId="9" applyNumberFormat="1" applyFont="1" applyBorder="1" applyAlignment="1">
      <alignment horizontal="center" vertical="center"/>
    </xf>
    <xf numFmtId="166" fontId="22" fillId="0" borderId="6" xfId="13" applyFont="1" applyFill="1" applyBorder="1" applyAlignment="1">
      <alignment horizontal="center" vertical="center"/>
    </xf>
    <xf numFmtId="166" fontId="22" fillId="0" borderId="6" xfId="13" applyFont="1" applyBorder="1" applyAlignment="1">
      <alignment horizontal="center" vertical="center" wrapText="1"/>
    </xf>
    <xf numFmtId="166" fontId="24" fillId="0" borderId="0" xfId="13" applyFont="1" applyFill="1"/>
    <xf numFmtId="0" fontId="22" fillId="0" borderId="0" xfId="9" applyFont="1"/>
    <xf numFmtId="0" fontId="22" fillId="0" borderId="6" xfId="9" applyFont="1" applyBorder="1" applyAlignment="1">
      <alignment horizontal="left" vertical="center"/>
    </xf>
    <xf numFmtId="166" fontId="22" fillId="0" borderId="0" xfId="13" applyFont="1" applyFill="1"/>
    <xf numFmtId="0" fontId="16" fillId="0" borderId="6" xfId="9" applyFont="1" applyBorder="1" applyAlignment="1">
      <alignment horizontal="left" vertical="center"/>
    </xf>
    <xf numFmtId="166" fontId="16" fillId="0" borderId="6" xfId="13" applyFont="1" applyBorder="1" applyAlignment="1">
      <alignment horizontal="center" vertical="center" wrapText="1"/>
    </xf>
    <xf numFmtId="0" fontId="16" fillId="0" borderId="0" xfId="0" applyFont="1"/>
    <xf numFmtId="166" fontId="16" fillId="0" borderId="6" xfId="9" applyNumberFormat="1" applyFont="1" applyBorder="1" applyAlignment="1">
      <alignment horizontal="center" vertical="center" wrapText="1"/>
    </xf>
    <xf numFmtId="175" fontId="16" fillId="0" borderId="6" xfId="13" applyNumberFormat="1" applyFont="1" applyBorder="1" applyAlignment="1">
      <alignment horizontal="center" vertical="center"/>
    </xf>
    <xf numFmtId="0" fontId="16" fillId="0" borderId="6" xfId="11" applyFont="1" applyBorder="1" applyAlignment="1">
      <alignment horizontal="center" vertical="center"/>
    </xf>
    <xf numFmtId="0" fontId="22" fillId="0" borderId="6" xfId="9" applyFont="1" applyBorder="1" applyAlignment="1">
      <alignment horizontal="left" vertical="center" wrapText="1"/>
    </xf>
    <xf numFmtId="172" fontId="16" fillId="0" borderId="6" xfId="10" applyFont="1" applyFill="1" applyBorder="1" applyAlignment="1">
      <alignment horizontal="center" vertical="center"/>
    </xf>
    <xf numFmtId="3" fontId="16" fillId="0" borderId="6" xfId="10" applyNumberFormat="1" applyFont="1" applyFill="1" applyBorder="1" applyAlignment="1">
      <alignment horizontal="center" vertical="center"/>
    </xf>
    <xf numFmtId="166" fontId="16" fillId="0" borderId="6" xfId="13" applyFont="1" applyFill="1" applyBorder="1" applyAlignment="1">
      <alignment horizontal="left" vertical="center" wrapText="1"/>
    </xf>
    <xf numFmtId="169" fontId="16" fillId="0" borderId="0" xfId="1" applyNumberFormat="1" applyFont="1" applyFill="1"/>
    <xf numFmtId="0" fontId="37" fillId="0" borderId="6" xfId="11" applyFont="1" applyBorder="1" applyAlignment="1">
      <alignment horizontal="center" vertical="center"/>
    </xf>
    <xf numFmtId="0" fontId="37" fillId="0" borderId="6" xfId="9" applyFont="1" applyBorder="1" applyAlignment="1">
      <alignment horizontal="left" vertical="center" wrapText="1"/>
    </xf>
    <xf numFmtId="172" fontId="37" fillId="0" borderId="6" xfId="10" applyFont="1" applyFill="1" applyBorder="1" applyAlignment="1">
      <alignment horizontal="center" vertical="center"/>
    </xf>
    <xf numFmtId="3" fontId="37" fillId="0" borderId="6" xfId="10" applyNumberFormat="1" applyFont="1" applyFill="1" applyBorder="1" applyAlignment="1">
      <alignment horizontal="center" vertical="center"/>
    </xf>
    <xf numFmtId="166" fontId="37" fillId="0" borderId="6" xfId="13" applyFont="1" applyFill="1" applyBorder="1" applyAlignment="1">
      <alignment horizontal="left" vertical="center" wrapText="1"/>
    </xf>
    <xf numFmtId="166" fontId="37" fillId="0" borderId="0" xfId="13" applyFont="1" applyFill="1"/>
    <xf numFmtId="0" fontId="37" fillId="0" borderId="0" xfId="0" applyFont="1"/>
    <xf numFmtId="169" fontId="37" fillId="0" borderId="0" xfId="1" applyNumberFormat="1" applyFont="1" applyFill="1"/>
    <xf numFmtId="0" fontId="37" fillId="0" borderId="0" xfId="9" applyFont="1"/>
    <xf numFmtId="0" fontId="24" fillId="0" borderId="6" xfId="0" applyFont="1" applyBorder="1"/>
    <xf numFmtId="0" fontId="21" fillId="0" borderId="6" xfId="9" applyFont="1" applyBorder="1" applyAlignment="1">
      <alignment horizontal="center" vertical="center" wrapText="1"/>
    </xf>
    <xf numFmtId="3" fontId="16" fillId="0" borderId="6" xfId="10" applyNumberFormat="1" applyFont="1" applyFill="1" applyBorder="1" applyAlignment="1">
      <alignment horizontal="center" vertical="center" wrapText="1"/>
    </xf>
    <xf numFmtId="0" fontId="27" fillId="0" borderId="6" xfId="11" applyFont="1" applyBorder="1" applyAlignment="1">
      <alignment horizontal="center" vertical="center"/>
    </xf>
    <xf numFmtId="0" fontId="27" fillId="0" borderId="6" xfId="0" applyFont="1" applyBorder="1"/>
    <xf numFmtId="0" fontId="27" fillId="0" borderId="6" xfId="9" applyFont="1" applyBorder="1" applyAlignment="1">
      <alignment horizontal="center" vertical="center" wrapText="1"/>
    </xf>
    <xf numFmtId="3" fontId="27" fillId="0" borderId="6" xfId="10" applyNumberFormat="1" applyFont="1" applyFill="1" applyBorder="1" applyAlignment="1">
      <alignment horizontal="center" vertical="center" wrapText="1"/>
    </xf>
    <xf numFmtId="166" fontId="27" fillId="0" borderId="6" xfId="13" applyFont="1" applyFill="1" applyBorder="1" applyAlignment="1">
      <alignment horizontal="left" vertical="center" wrapText="1"/>
    </xf>
    <xf numFmtId="166" fontId="27" fillId="0" borderId="0" xfId="13" applyFont="1" applyFill="1"/>
    <xf numFmtId="0" fontId="27" fillId="0" borderId="0" xfId="0" applyFont="1"/>
    <xf numFmtId="169" fontId="27" fillId="0" borderId="0" xfId="1" applyNumberFormat="1" applyFont="1" applyFill="1"/>
    <xf numFmtId="0" fontId="27" fillId="0" borderId="0" xfId="9" applyFont="1"/>
    <xf numFmtId="0" fontId="21" fillId="0" borderId="6" xfId="0" applyFont="1" applyBorder="1"/>
    <xf numFmtId="0" fontId="21" fillId="0" borderId="6" xfId="11" applyFont="1" applyBorder="1" applyAlignment="1">
      <alignment horizontal="center" vertical="center"/>
    </xf>
    <xf numFmtId="0" fontId="21" fillId="0" borderId="10" xfId="9" applyFont="1" applyBorder="1" applyAlignment="1">
      <alignment horizontal="left" vertical="center" wrapText="1"/>
    </xf>
    <xf numFmtId="0" fontId="16" fillId="0" borderId="6" xfId="9" applyFont="1" applyBorder="1" applyAlignment="1">
      <alignment horizontal="left" vertical="center" wrapText="1"/>
    </xf>
    <xf numFmtId="166" fontId="27" fillId="0" borderId="6" xfId="13" applyFont="1" applyFill="1" applyBorder="1" applyAlignment="1">
      <alignment horizontal="center" vertical="center" wrapText="1"/>
    </xf>
    <xf numFmtId="0" fontId="37" fillId="0" borderId="6" xfId="9" applyFont="1" applyBorder="1" applyAlignment="1">
      <alignment vertical="center"/>
    </xf>
    <xf numFmtId="0" fontId="37" fillId="0" borderId="6" xfId="9" applyFont="1" applyBorder="1" applyAlignment="1">
      <alignment horizontal="center" vertical="center"/>
    </xf>
    <xf numFmtId="166" fontId="37" fillId="0" borderId="6" xfId="13" applyFont="1" applyFill="1" applyBorder="1" applyAlignment="1">
      <alignment horizontal="center" vertical="center"/>
    </xf>
    <xf numFmtId="166" fontId="37" fillId="0" borderId="6" xfId="13" applyFont="1" applyFill="1" applyBorder="1" applyAlignment="1">
      <alignment vertical="center"/>
    </xf>
    <xf numFmtId="166" fontId="16" fillId="0" borderId="6" xfId="13" applyFont="1" applyBorder="1" applyAlignment="1">
      <alignment vertical="center"/>
    </xf>
    <xf numFmtId="0" fontId="16" fillId="0" borderId="9" xfId="9" applyFont="1" applyBorder="1" applyAlignment="1">
      <alignment vertical="center"/>
    </xf>
    <xf numFmtId="0" fontId="37" fillId="0" borderId="9" xfId="9" applyFont="1" applyBorder="1" applyAlignment="1">
      <alignment vertical="center"/>
    </xf>
    <xf numFmtId="0" fontId="37" fillId="0" borderId="9" xfId="9" applyFont="1" applyBorder="1" applyAlignment="1">
      <alignment horizontal="center" vertical="center"/>
    </xf>
    <xf numFmtId="166" fontId="37" fillId="0" borderId="9" xfId="13" applyFont="1" applyFill="1" applyBorder="1" applyAlignment="1">
      <alignment horizontal="center" vertical="center"/>
    </xf>
    <xf numFmtId="166" fontId="37" fillId="0" borderId="9" xfId="13" applyFont="1" applyFill="1" applyBorder="1" applyAlignment="1">
      <alignment vertical="center"/>
    </xf>
    <xf numFmtId="166" fontId="16" fillId="0" borderId="9" xfId="13" applyFont="1" applyBorder="1" applyAlignment="1">
      <alignment vertical="center"/>
    </xf>
    <xf numFmtId="166" fontId="16" fillId="0" borderId="0" xfId="13" applyFont="1" applyFill="1" applyBorder="1"/>
    <xf numFmtId="166" fontId="22" fillId="17" borderId="6" xfId="13" applyFont="1" applyFill="1" applyBorder="1" applyAlignment="1">
      <alignment vertical="center"/>
    </xf>
    <xf numFmtId="166" fontId="16" fillId="17" borderId="6" xfId="13" applyFont="1" applyFill="1" applyBorder="1"/>
    <xf numFmtId="0" fontId="41" fillId="0" borderId="0" xfId="0" applyFont="1"/>
    <xf numFmtId="0" fontId="42" fillId="0" borderId="0" xfId="0" applyFont="1"/>
    <xf numFmtId="0" fontId="16" fillId="0" borderId="0" xfId="9" applyFont="1" applyAlignment="1">
      <alignment vertical="center"/>
    </xf>
    <xf numFmtId="166" fontId="16" fillId="0" borderId="0" xfId="13" applyFont="1"/>
    <xf numFmtId="169" fontId="16" fillId="0" borderId="0" xfId="1" applyNumberFormat="1" applyFont="1" applyFill="1" applyAlignment="1">
      <alignment vertical="center"/>
    </xf>
    <xf numFmtId="169" fontId="16" fillId="0" borderId="0" xfId="1" applyNumberFormat="1" applyFont="1" applyAlignment="1">
      <alignment vertical="center" wrapText="1"/>
    </xf>
    <xf numFmtId="0" fontId="22" fillId="4" borderId="6" xfId="9" applyFont="1" applyFill="1" applyBorder="1" applyAlignment="1">
      <alignment horizontal="center" vertical="center"/>
    </xf>
    <xf numFmtId="3" fontId="22" fillId="4" borderId="6" xfId="9" applyNumberFormat="1" applyFont="1" applyFill="1" applyBorder="1" applyAlignment="1">
      <alignment horizontal="center" vertical="center"/>
    </xf>
    <xf numFmtId="166" fontId="22" fillId="4" borderId="6" xfId="13" applyFont="1" applyFill="1" applyBorder="1" applyAlignment="1">
      <alignment horizontal="center" vertical="center"/>
    </xf>
    <xf numFmtId="166" fontId="22" fillId="4" borderId="6" xfId="13" applyFont="1" applyFill="1" applyBorder="1" applyAlignment="1">
      <alignment horizontal="center" vertical="center" wrapText="1"/>
    </xf>
    <xf numFmtId="169" fontId="22" fillId="0" borderId="6" xfId="1" applyNumberFormat="1" applyFont="1" applyBorder="1" applyAlignment="1">
      <alignment horizontal="center" vertical="center"/>
    </xf>
    <xf numFmtId="169" fontId="16" fillId="0" borderId="6" xfId="1" applyNumberFormat="1" applyFont="1" applyBorder="1" applyAlignment="1">
      <alignment horizontal="center" vertical="center"/>
    </xf>
    <xf numFmtId="169" fontId="16" fillId="0" borderId="6" xfId="1" applyNumberFormat="1" applyFont="1" applyFill="1" applyBorder="1" applyAlignment="1">
      <alignment horizontal="center" vertical="center"/>
    </xf>
    <xf numFmtId="169" fontId="37" fillId="0" borderId="6" xfId="1" applyNumberFormat="1" applyFont="1" applyFill="1" applyBorder="1" applyAlignment="1">
      <alignment horizontal="center" vertical="center"/>
    </xf>
    <xf numFmtId="169" fontId="16" fillId="0" borderId="6" xfId="1" applyNumberFormat="1" applyFont="1" applyFill="1" applyBorder="1" applyAlignment="1">
      <alignment horizontal="center" vertical="center" wrapText="1"/>
    </xf>
    <xf numFmtId="169" fontId="27" fillId="0" borderId="6" xfId="1" applyNumberFormat="1" applyFont="1" applyFill="1" applyBorder="1" applyAlignment="1">
      <alignment horizontal="center" vertical="center" wrapText="1"/>
    </xf>
    <xf numFmtId="169" fontId="16" fillId="0" borderId="6" xfId="1" applyNumberFormat="1" applyFont="1" applyBorder="1" applyAlignment="1">
      <alignment horizontal="left" vertical="center" wrapText="1"/>
    </xf>
    <xf numFmtId="169" fontId="37" fillId="0" borderId="9" xfId="1" applyNumberFormat="1" applyFont="1" applyFill="1" applyBorder="1" applyAlignment="1">
      <alignment horizontal="center" vertical="center"/>
    </xf>
    <xf numFmtId="0" fontId="43" fillId="0" borderId="6" xfId="11" applyFont="1" applyBorder="1" applyAlignment="1">
      <alignment horizontal="center" vertical="center"/>
    </xf>
    <xf numFmtId="0" fontId="43" fillId="0" borderId="6" xfId="9" applyFont="1" applyBorder="1" applyAlignment="1">
      <alignment horizontal="left" vertical="center" wrapText="1"/>
    </xf>
    <xf numFmtId="172" fontId="43" fillId="0" borderId="6" xfId="10" applyFont="1" applyFill="1" applyBorder="1" applyAlignment="1">
      <alignment horizontal="center" vertical="center"/>
    </xf>
    <xf numFmtId="169" fontId="43" fillId="0" borderId="6" xfId="1" applyNumberFormat="1" applyFont="1" applyFill="1" applyBorder="1" applyAlignment="1">
      <alignment horizontal="center" vertical="center"/>
    </xf>
    <xf numFmtId="166" fontId="43" fillId="0" borderId="6" xfId="13" applyFont="1" applyFill="1" applyBorder="1" applyAlignment="1">
      <alignment horizontal="left" vertical="center" wrapText="1"/>
    </xf>
    <xf numFmtId="166" fontId="43" fillId="0" borderId="0" xfId="13" applyFont="1" applyFill="1"/>
    <xf numFmtId="0" fontId="43" fillId="0" borderId="0" xfId="0" applyFont="1"/>
    <xf numFmtId="169" fontId="43" fillId="0" borderId="0" xfId="1" applyNumberFormat="1" applyFont="1" applyFill="1"/>
    <xf numFmtId="0" fontId="43" fillId="0" borderId="0" xfId="9" applyFont="1"/>
    <xf numFmtId="166" fontId="16" fillId="0" borderId="6" xfId="13" applyFont="1" applyFill="1" applyBorder="1" applyAlignment="1">
      <alignment horizontal="center" vertical="center" wrapText="1"/>
    </xf>
    <xf numFmtId="0" fontId="22" fillId="18" borderId="6" xfId="9" applyFont="1" applyFill="1" applyBorder="1" applyAlignment="1">
      <alignment horizontal="left" vertical="center"/>
    </xf>
    <xf numFmtId="166" fontId="22" fillId="4" borderId="0" xfId="13" applyFont="1" applyFill="1" applyBorder="1" applyAlignment="1">
      <alignment horizontal="center" vertical="center" wrapText="1"/>
    </xf>
    <xf numFmtId="166" fontId="22" fillId="0" borderId="0" xfId="13" applyFont="1" applyBorder="1" applyAlignment="1">
      <alignment horizontal="center" vertical="center" wrapText="1"/>
    </xf>
    <xf numFmtId="166" fontId="16" fillId="0" borderId="0" xfId="13" applyFont="1" applyBorder="1" applyAlignment="1">
      <alignment horizontal="center" vertical="center" wrapText="1"/>
    </xf>
    <xf numFmtId="166" fontId="16" fillId="0" borderId="0" xfId="9" applyNumberFormat="1" applyFont="1" applyAlignment="1">
      <alignment horizontal="center" vertical="center" wrapText="1"/>
    </xf>
    <xf numFmtId="166" fontId="16" fillId="0" borderId="0" xfId="13" applyFont="1" applyFill="1" applyBorder="1" applyAlignment="1">
      <alignment horizontal="center" vertical="center" wrapText="1"/>
    </xf>
    <xf numFmtId="166" fontId="43" fillId="0" borderId="0" xfId="13" applyFont="1" applyFill="1" applyBorder="1" applyAlignment="1">
      <alignment horizontal="left" vertical="center" wrapText="1"/>
    </xf>
    <xf numFmtId="166" fontId="16" fillId="0" borderId="0" xfId="13" applyFont="1" applyFill="1" applyBorder="1" applyAlignment="1">
      <alignment horizontal="left" vertical="center" wrapText="1"/>
    </xf>
    <xf numFmtId="166" fontId="27" fillId="0" borderId="0" xfId="13" applyFont="1" applyFill="1" applyBorder="1" applyAlignment="1">
      <alignment horizontal="left" vertical="center" wrapText="1"/>
    </xf>
    <xf numFmtId="166" fontId="16" fillId="0" borderId="0" xfId="13" applyFont="1" applyBorder="1" applyAlignment="1">
      <alignment vertical="center"/>
    </xf>
    <xf numFmtId="166" fontId="22" fillId="17" borderId="0" xfId="13" applyFont="1" applyFill="1" applyBorder="1" applyAlignment="1">
      <alignment vertical="center"/>
    </xf>
    <xf numFmtId="176" fontId="22" fillId="17" borderId="0" xfId="2" applyNumberFormat="1" applyFont="1" applyFill="1" applyBorder="1" applyAlignment="1">
      <alignment vertical="center"/>
    </xf>
    <xf numFmtId="10" fontId="16" fillId="17" borderId="0" xfId="2" applyNumberFormat="1" applyFont="1" applyFill="1" applyBorder="1"/>
    <xf numFmtId="10" fontId="43" fillId="0" borderId="0" xfId="2" applyNumberFormat="1" applyFont="1" applyFill="1" applyBorder="1" applyAlignment="1">
      <alignment horizontal="left" vertical="center" wrapText="1"/>
    </xf>
    <xf numFmtId="0" fontId="16" fillId="19" borderId="0" xfId="9" applyFont="1" applyFill="1"/>
    <xf numFmtId="0" fontId="21" fillId="19" borderId="0" xfId="0" applyFont="1" applyFill="1"/>
    <xf numFmtId="0" fontId="24" fillId="19" borderId="0" xfId="0" applyFont="1" applyFill="1"/>
    <xf numFmtId="0" fontId="22" fillId="19" borderId="0" xfId="0" applyFont="1" applyFill="1"/>
    <xf numFmtId="0" fontId="16" fillId="19" borderId="0" xfId="0" applyFont="1" applyFill="1"/>
    <xf numFmtId="0" fontId="43" fillId="19" borderId="0" xfId="0" applyFont="1" applyFill="1"/>
    <xf numFmtId="0" fontId="27" fillId="19" borderId="0" xfId="0" applyFont="1" applyFill="1"/>
    <xf numFmtId="166" fontId="24" fillId="0" borderId="0" xfId="13" applyFont="1"/>
    <xf numFmtId="166" fontId="22" fillId="0" borderId="0" xfId="13" applyFont="1"/>
    <xf numFmtId="0" fontId="16" fillId="0" borderId="11" xfId="9" applyFont="1" applyBorder="1" applyAlignment="1">
      <alignment horizontal="center" vertical="center"/>
    </xf>
    <xf numFmtId="0" fontId="16" fillId="0" borderId="11" xfId="9" applyFont="1" applyBorder="1" applyAlignment="1">
      <alignment horizontal="left" vertical="center"/>
    </xf>
    <xf numFmtId="169" fontId="16" fillId="0" borderId="11" xfId="1" applyNumberFormat="1" applyFont="1" applyBorder="1" applyAlignment="1">
      <alignment horizontal="center" vertical="center"/>
    </xf>
    <xf numFmtId="166" fontId="16" fillId="0" borderId="11" xfId="13" applyFont="1" applyFill="1" applyBorder="1" applyAlignment="1">
      <alignment horizontal="center" vertical="center"/>
    </xf>
    <xf numFmtId="169" fontId="16" fillId="0" borderId="12" xfId="1" applyNumberFormat="1" applyFont="1" applyBorder="1" applyAlignment="1">
      <alignment horizontal="center" vertical="center"/>
    </xf>
    <xf numFmtId="166" fontId="16" fillId="0" borderId="12" xfId="13" applyFont="1" applyFill="1" applyBorder="1" applyAlignment="1">
      <alignment horizontal="center" vertical="center"/>
    </xf>
    <xf numFmtId="166" fontId="16" fillId="0" borderId="12" xfId="13" applyFont="1" applyBorder="1" applyAlignment="1">
      <alignment horizontal="center" vertical="center" wrapText="1"/>
    </xf>
    <xf numFmtId="169" fontId="16" fillId="0" borderId="0" xfId="1" applyNumberFormat="1" applyFont="1" applyBorder="1" applyAlignment="1">
      <alignment horizontal="center" vertical="center"/>
    </xf>
    <xf numFmtId="166" fontId="16" fillId="0" borderId="0" xfId="13" applyFont="1" applyFill="1" applyBorder="1" applyAlignment="1">
      <alignment horizontal="center" vertical="center"/>
    </xf>
    <xf numFmtId="0" fontId="16" fillId="0" borderId="13" xfId="9" applyFont="1" applyBorder="1" applyAlignment="1">
      <alignment horizontal="center" vertical="center"/>
    </xf>
    <xf numFmtId="0" fontId="16" fillId="0" borderId="13" xfId="9" applyFont="1" applyBorder="1" applyAlignment="1">
      <alignment horizontal="left" vertical="center"/>
    </xf>
    <xf numFmtId="169" fontId="16" fillId="0" borderId="13" xfId="1" applyNumberFormat="1" applyFont="1" applyBorder="1" applyAlignment="1">
      <alignment horizontal="center" vertical="center"/>
    </xf>
    <xf numFmtId="166" fontId="16" fillId="0" borderId="13" xfId="13" applyFont="1" applyFill="1" applyBorder="1" applyAlignment="1">
      <alignment horizontal="center" vertical="center"/>
    </xf>
    <xf numFmtId="0" fontId="16" fillId="0" borderId="14" xfId="9" applyFont="1" applyBorder="1" applyAlignment="1">
      <alignment horizontal="center" vertical="center"/>
    </xf>
    <xf numFmtId="0" fontId="16" fillId="0" borderId="14" xfId="9" applyFont="1" applyBorder="1" applyAlignment="1">
      <alignment horizontal="left" vertical="center"/>
    </xf>
    <xf numFmtId="169" fontId="16" fillId="0" borderId="14" xfId="1" applyNumberFormat="1" applyFont="1" applyBorder="1" applyAlignment="1">
      <alignment horizontal="center" vertical="center"/>
    </xf>
    <xf numFmtId="166" fontId="16" fillId="0" borderId="14" xfId="13" applyFont="1" applyFill="1" applyBorder="1" applyAlignment="1">
      <alignment horizontal="center" vertical="center"/>
    </xf>
    <xf numFmtId="0" fontId="22" fillId="0" borderId="6" xfId="0" applyFont="1" applyBorder="1"/>
    <xf numFmtId="0" fontId="44" fillId="0" borderId="0" xfId="0" applyFont="1"/>
    <xf numFmtId="166" fontId="21" fillId="0" borderId="0" xfId="13" applyFont="1" applyFill="1" applyAlignment="1">
      <alignment vertical="center"/>
    </xf>
    <xf numFmtId="166" fontId="22" fillId="0" borderId="0" xfId="13" applyFont="1" applyFill="1" applyBorder="1" applyAlignment="1">
      <alignment horizontal="center" vertical="center" wrapText="1"/>
    </xf>
    <xf numFmtId="176" fontId="22" fillId="0" borderId="0" xfId="2" applyNumberFormat="1" applyFont="1" applyFill="1" applyBorder="1" applyAlignment="1">
      <alignment vertical="center"/>
    </xf>
    <xf numFmtId="10" fontId="16" fillId="0" borderId="0" xfId="2" applyNumberFormat="1" applyFont="1" applyFill="1" applyBorder="1"/>
    <xf numFmtId="166" fontId="22" fillId="0" borderId="0" xfId="13" applyFont="1" applyFill="1" applyBorder="1" applyAlignment="1">
      <alignment vertical="center"/>
    </xf>
    <xf numFmtId="0" fontId="22" fillId="15" borderId="6" xfId="9" applyFont="1" applyFill="1" applyBorder="1" applyAlignment="1">
      <alignment horizontal="center" vertical="center"/>
    </xf>
    <xf numFmtId="0" fontId="22" fillId="15" borderId="6" xfId="9" applyFont="1" applyFill="1" applyBorder="1" applyAlignment="1">
      <alignment horizontal="left" vertical="center" wrapText="1"/>
    </xf>
    <xf numFmtId="3" fontId="22" fillId="15" borderId="6" xfId="9" applyNumberFormat="1" applyFont="1" applyFill="1" applyBorder="1" applyAlignment="1">
      <alignment horizontal="center" vertical="center"/>
    </xf>
    <xf numFmtId="166" fontId="22" fillId="15" borderId="6" xfId="13" applyFont="1" applyFill="1" applyBorder="1" applyAlignment="1">
      <alignment horizontal="center" vertical="center"/>
    </xf>
    <xf numFmtId="166" fontId="22" fillId="15" borderId="6" xfId="13" applyFont="1" applyFill="1" applyBorder="1" applyAlignment="1">
      <alignment horizontal="center" vertical="center" wrapText="1"/>
    </xf>
    <xf numFmtId="0" fontId="43" fillId="0" borderId="6" xfId="9" applyFont="1" applyBorder="1" applyAlignment="1">
      <alignment horizontal="left" vertical="center"/>
    </xf>
    <xf numFmtId="166" fontId="16" fillId="0" borderId="11" xfId="13" applyFont="1" applyBorder="1" applyAlignment="1">
      <alignment horizontal="center" vertical="center" wrapText="1"/>
    </xf>
    <xf numFmtId="0" fontId="16" fillId="0" borderId="12" xfId="9" applyFont="1" applyBorder="1" applyAlignment="1">
      <alignment horizontal="center" vertical="center"/>
    </xf>
    <xf numFmtId="3" fontId="16" fillId="0" borderId="6" xfId="9" applyNumberFormat="1" applyFont="1" applyBorder="1" applyAlignment="1">
      <alignment horizontal="center" vertical="center"/>
    </xf>
    <xf numFmtId="173" fontId="21" fillId="0" borderId="0" xfId="1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9" fontId="16" fillId="0" borderId="6" xfId="10" applyNumberFormat="1" applyFont="1" applyFill="1" applyBorder="1" applyAlignment="1">
      <alignment horizontal="left" vertical="center" wrapText="1"/>
    </xf>
    <xf numFmtId="169" fontId="16" fillId="0" borderId="0" xfId="1" applyNumberFormat="1" applyFont="1" applyAlignment="1">
      <alignment horizontal="center" vertical="center"/>
    </xf>
    <xf numFmtId="169" fontId="16" fillId="0" borderId="0" xfId="1" applyNumberFormat="1" applyFont="1" applyFill="1" applyAlignment="1">
      <alignment horizontal="center" vertical="center"/>
    </xf>
    <xf numFmtId="0" fontId="16" fillId="0" borderId="10" xfId="0" applyFont="1" applyBorder="1"/>
    <xf numFmtId="169" fontId="27" fillId="0" borderId="6" xfId="10" applyNumberFormat="1" applyFont="1" applyFill="1" applyBorder="1" applyAlignment="1">
      <alignment horizontal="left" vertical="center" wrapText="1"/>
    </xf>
    <xf numFmtId="169" fontId="27" fillId="0" borderId="0" xfId="1" applyNumberFormat="1" applyFont="1" applyAlignment="1">
      <alignment horizontal="center" vertical="center"/>
    </xf>
    <xf numFmtId="169" fontId="27" fillId="0" borderId="0" xfId="1" applyNumberFormat="1" applyFont="1" applyFill="1" applyAlignment="1">
      <alignment horizontal="center" vertical="center"/>
    </xf>
    <xf numFmtId="14" fontId="16" fillId="0" borderId="6" xfId="9" applyNumberFormat="1" applyFont="1" applyBorder="1" applyAlignment="1">
      <alignment horizontal="center" vertical="center"/>
    </xf>
    <xf numFmtId="10" fontId="16" fillId="0" borderId="0" xfId="2" applyNumberFormat="1" applyFont="1" applyFill="1"/>
    <xf numFmtId="0" fontId="22" fillId="15" borderId="6" xfId="11" applyFont="1" applyFill="1" applyBorder="1" applyAlignment="1">
      <alignment horizontal="center" vertical="center"/>
    </xf>
    <xf numFmtId="172" fontId="16" fillId="15" borderId="6" xfId="10" applyFont="1" applyFill="1" applyBorder="1" applyAlignment="1">
      <alignment horizontal="center" vertical="center"/>
    </xf>
    <xf numFmtId="169" fontId="16" fillId="15" borderId="6" xfId="1" applyNumberFormat="1" applyFont="1" applyFill="1" applyBorder="1" applyAlignment="1">
      <alignment horizontal="center" vertical="center"/>
    </xf>
    <xf numFmtId="166" fontId="16" fillId="15" borderId="6" xfId="13" applyFont="1" applyFill="1" applyBorder="1" applyAlignment="1">
      <alignment horizontal="left" vertical="center" wrapText="1"/>
    </xf>
    <xf numFmtId="166" fontId="43" fillId="15" borderId="6" xfId="13" applyFont="1" applyFill="1" applyBorder="1" applyAlignment="1">
      <alignment horizontal="left" vertical="center" wrapText="1"/>
    </xf>
    <xf numFmtId="166" fontId="22" fillId="20" borderId="6" xfId="13" applyFont="1" applyFill="1" applyBorder="1" applyAlignment="1">
      <alignment horizontal="left" vertical="center" wrapText="1"/>
    </xf>
    <xf numFmtId="0" fontId="16" fillId="0" borderId="8" xfId="11" applyFont="1" applyBorder="1" applyAlignment="1">
      <alignment horizontal="center" vertical="center"/>
    </xf>
    <xf numFmtId="0" fontId="21" fillId="0" borderId="9" xfId="0" applyFont="1" applyBorder="1"/>
    <xf numFmtId="0" fontId="21" fillId="0" borderId="9" xfId="9" applyFont="1" applyBorder="1" applyAlignment="1">
      <alignment horizontal="center" vertical="center" wrapText="1"/>
    </xf>
    <xf numFmtId="169" fontId="16" fillId="0" borderId="9" xfId="1" applyNumberFormat="1" applyFont="1" applyFill="1" applyBorder="1" applyAlignment="1">
      <alignment horizontal="center" vertical="center" wrapText="1"/>
    </xf>
    <xf numFmtId="166" fontId="16" fillId="0" borderId="10" xfId="13" applyFont="1" applyFill="1" applyBorder="1" applyAlignment="1">
      <alignment horizontal="left" vertical="center" wrapText="1"/>
    </xf>
    <xf numFmtId="0" fontId="16" fillId="0" borderId="12" xfId="9" applyFont="1" applyBorder="1" applyAlignment="1">
      <alignment horizontal="left" vertical="center"/>
    </xf>
    <xf numFmtId="0" fontId="16" fillId="0" borderId="0" xfId="9" applyFont="1" applyAlignment="1">
      <alignment horizontal="center" vertical="center"/>
    </xf>
    <xf numFmtId="0" fontId="16" fillId="0" borderId="0" xfId="9" applyFont="1" applyAlignment="1">
      <alignment horizontal="left" vertical="center"/>
    </xf>
    <xf numFmtId="166" fontId="16" fillId="0" borderId="13" xfId="13" applyFont="1" applyBorder="1" applyAlignment="1">
      <alignment horizontal="center" vertical="center" wrapText="1"/>
    </xf>
    <xf numFmtId="166" fontId="16" fillId="0" borderId="14" xfId="13" applyFont="1" applyBorder="1" applyAlignment="1">
      <alignment horizontal="center" vertical="center" wrapText="1"/>
    </xf>
    <xf numFmtId="0" fontId="22" fillId="0" borderId="0" xfId="9" applyFont="1" applyAlignment="1">
      <alignment horizontal="left" vertical="center"/>
    </xf>
    <xf numFmtId="0" fontId="22" fillId="15" borderId="6" xfId="9" applyFont="1" applyFill="1" applyBorder="1" applyAlignment="1">
      <alignment horizontal="left" vertical="center"/>
    </xf>
    <xf numFmtId="169" fontId="16" fillId="8" borderId="6" xfId="1" applyNumberFormat="1" applyFont="1" applyFill="1" applyBorder="1" applyAlignment="1">
      <alignment horizontal="center" vertical="center"/>
    </xf>
    <xf numFmtId="169" fontId="16" fillId="0" borderId="0" xfId="1" applyNumberFormat="1" applyFont="1"/>
    <xf numFmtId="169" fontId="22" fillId="0" borderId="0" xfId="1" applyNumberFormat="1" applyFont="1"/>
    <xf numFmtId="169" fontId="43" fillId="0" borderId="0" xfId="1" applyNumberFormat="1" applyFont="1"/>
    <xf numFmtId="169" fontId="37" fillId="0" borderId="0" xfId="1" applyNumberFormat="1" applyFont="1"/>
    <xf numFmtId="169" fontId="27" fillId="0" borderId="0" xfId="1" applyNumberFormat="1" applyFont="1"/>
    <xf numFmtId="0" fontId="16" fillId="8" borderId="6" xfId="9" applyFont="1" applyFill="1" applyBorder="1" applyAlignment="1">
      <alignment horizontal="left" vertical="center"/>
    </xf>
    <xf numFmtId="166" fontId="16" fillId="8" borderId="6" xfId="13" applyFont="1" applyFill="1" applyBorder="1" applyAlignment="1">
      <alignment horizontal="center" vertical="center" wrapText="1"/>
    </xf>
    <xf numFmtId="166" fontId="16" fillId="8" borderId="0" xfId="13" applyFont="1" applyFill="1" applyBorder="1" applyAlignment="1">
      <alignment horizontal="center" vertical="center" wrapText="1"/>
    </xf>
    <xf numFmtId="166" fontId="16" fillId="8" borderId="0" xfId="13" applyFont="1" applyFill="1"/>
    <xf numFmtId="0" fontId="16" fillId="8" borderId="0" xfId="0" applyFont="1" applyFill="1"/>
    <xf numFmtId="0" fontId="16" fillId="8" borderId="0" xfId="9" applyFont="1" applyFill="1"/>
    <xf numFmtId="169" fontId="16" fillId="8" borderId="0" xfId="1" applyNumberFormat="1" applyFont="1" applyFill="1"/>
    <xf numFmtId="166" fontId="16" fillId="8" borderId="0" xfId="9" applyNumberFormat="1" applyFont="1" applyFill="1"/>
    <xf numFmtId="0" fontId="22" fillId="17" borderId="6" xfId="9" applyFont="1" applyFill="1" applyBorder="1" applyAlignment="1">
      <alignment horizontal="left" vertical="center" wrapText="1"/>
    </xf>
    <xf numFmtId="14" fontId="21" fillId="0" borderId="0" xfId="0" applyNumberFormat="1" applyFont="1" applyAlignment="1">
      <alignment horizontal="center" vertical="center"/>
    </xf>
    <xf numFmtId="0" fontId="45" fillId="20" borderId="8" xfId="11" applyFont="1" applyFill="1" applyBorder="1" applyAlignment="1">
      <alignment horizontal="center" vertical="center"/>
    </xf>
    <xf numFmtId="0" fontId="45" fillId="20" borderId="9" xfId="11" applyFont="1" applyFill="1" applyBorder="1" applyAlignment="1">
      <alignment horizontal="center" vertical="center"/>
    </xf>
    <xf numFmtId="0" fontId="45" fillId="20" borderId="10" xfId="11" applyFont="1" applyFill="1" applyBorder="1" applyAlignment="1">
      <alignment horizontal="center" vertical="center"/>
    </xf>
    <xf numFmtId="0" fontId="45" fillId="20" borderId="6" xfId="11" applyFont="1" applyFill="1" applyBorder="1" applyAlignment="1">
      <alignment horizontal="center" vertical="center"/>
    </xf>
    <xf numFmtId="0" fontId="35" fillId="5" borderId="3" xfId="0" applyFont="1" applyFill="1" applyBorder="1" applyAlignment="1">
      <alignment horizontal="center" vertical="center" wrapText="1"/>
    </xf>
    <xf numFmtId="0" fontId="35" fillId="5" borderId="4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26" fillId="11" borderId="3" xfId="0" applyFont="1" applyFill="1" applyBorder="1" applyAlignment="1">
      <alignment horizontal="center" vertical="center" wrapText="1"/>
    </xf>
    <xf numFmtId="0" fontId="26" fillId="11" borderId="4" xfId="0" applyFont="1" applyFill="1" applyBorder="1" applyAlignment="1">
      <alignment horizontal="center" vertical="center" wrapText="1"/>
    </xf>
    <xf numFmtId="0" fontId="26" fillId="16" borderId="4" xfId="0" applyFont="1" applyFill="1" applyBorder="1" applyAlignment="1">
      <alignment horizontal="center" vertical="center" wrapText="1"/>
    </xf>
    <xf numFmtId="0" fontId="26" fillId="16" borderId="5" xfId="0" applyFont="1" applyFill="1" applyBorder="1" applyAlignment="1">
      <alignment horizontal="center" vertical="center" wrapText="1"/>
    </xf>
    <xf numFmtId="0" fontId="34" fillId="13" borderId="6" xfId="0" applyFont="1" applyFill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vertical="center" wrapText="1"/>
    </xf>
    <xf numFmtId="0" fontId="46" fillId="0" borderId="0" xfId="0" applyFont="1" applyAlignment="1">
      <alignment horizontal="center" vertical="center"/>
    </xf>
    <xf numFmtId="169" fontId="46" fillId="0" borderId="0" xfId="1" applyNumberFormat="1" applyFont="1" applyFill="1" applyAlignment="1">
      <alignment horizontal="center" vertical="center"/>
    </xf>
    <xf numFmtId="166" fontId="46" fillId="0" borderId="0" xfId="13" applyFont="1" applyFill="1" applyAlignment="1">
      <alignment horizontal="center" vertical="center"/>
    </xf>
    <xf numFmtId="0" fontId="46" fillId="0" borderId="0" xfId="9" applyFont="1"/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47" fillId="0" borderId="0" xfId="9" applyFont="1" applyAlignment="1">
      <alignment horizontal="center" vertical="center" wrapText="1"/>
    </xf>
    <xf numFmtId="0" fontId="48" fillId="0" borderId="0" xfId="0" applyFont="1"/>
    <xf numFmtId="0" fontId="47" fillId="0" borderId="0" xfId="0" applyFont="1" applyAlignment="1">
      <alignment horizontal="left" wrapText="1"/>
    </xf>
    <xf numFmtId="0" fontId="46" fillId="0" borderId="0" xfId="0" applyFont="1" applyAlignment="1">
      <alignment horizontal="center" vertical="center" wrapText="1"/>
    </xf>
    <xf numFmtId="169" fontId="46" fillId="0" borderId="0" xfId="1" applyNumberFormat="1" applyFont="1" applyAlignment="1">
      <alignment horizontal="center" vertical="center" wrapText="1"/>
    </xf>
    <xf numFmtId="166" fontId="46" fillId="0" borderId="0" xfId="13" applyFont="1" applyAlignment="1">
      <alignment horizontal="center" vertical="center"/>
    </xf>
    <xf numFmtId="0" fontId="34" fillId="0" borderId="0" xfId="0" applyFont="1"/>
    <xf numFmtId="0" fontId="47" fillId="0" borderId="0" xfId="0" applyFont="1" applyAlignment="1">
      <alignment horizontal="left" vertical="center" wrapText="1"/>
    </xf>
    <xf numFmtId="0" fontId="48" fillId="0" borderId="0" xfId="0" applyFont="1" applyAlignment="1">
      <alignment horizontal="center" vertical="center"/>
    </xf>
    <xf numFmtId="169" fontId="48" fillId="0" borderId="0" xfId="1" applyNumberFormat="1" applyFont="1" applyAlignment="1">
      <alignment horizontal="center" vertical="center"/>
    </xf>
    <xf numFmtId="166" fontId="48" fillId="0" borderId="0" xfId="13" applyFont="1" applyAlignment="1">
      <alignment horizontal="center" vertical="center"/>
    </xf>
    <xf numFmtId="14" fontId="48" fillId="0" borderId="0" xfId="0" applyNumberFormat="1" applyFont="1" applyAlignment="1">
      <alignment horizontal="center" vertical="center"/>
    </xf>
    <xf numFmtId="169" fontId="49" fillId="0" borderId="0" xfId="1" applyNumberFormat="1" applyFont="1" applyBorder="1" applyAlignment="1">
      <alignment horizontal="center" vertical="center"/>
    </xf>
    <xf numFmtId="166" fontId="46" fillId="0" borderId="0" xfId="13" applyFont="1" applyFill="1" applyBorder="1" applyAlignment="1">
      <alignment horizontal="center" vertical="center"/>
    </xf>
    <xf numFmtId="166" fontId="46" fillId="0" borderId="0" xfId="13" applyFont="1" applyBorder="1" applyAlignment="1">
      <alignment horizontal="center" vertical="center" wrapText="1"/>
    </xf>
    <xf numFmtId="14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left" vertical="center" wrapText="1"/>
    </xf>
    <xf numFmtId="0" fontId="34" fillId="4" borderId="15" xfId="9" applyFont="1" applyFill="1" applyBorder="1" applyAlignment="1">
      <alignment horizontal="center" vertical="center"/>
    </xf>
    <xf numFmtId="0" fontId="34" fillId="4" borderId="16" xfId="9" applyFont="1" applyFill="1" applyBorder="1" applyAlignment="1">
      <alignment horizontal="center" vertical="center" wrapText="1"/>
    </xf>
    <xf numFmtId="0" fontId="34" fillId="4" borderId="16" xfId="9" applyFont="1" applyFill="1" applyBorder="1" applyAlignment="1">
      <alignment horizontal="center" vertical="center"/>
    </xf>
    <xf numFmtId="3" fontId="46" fillId="4" borderId="16" xfId="9" applyNumberFormat="1" applyFont="1" applyFill="1" applyBorder="1" applyAlignment="1">
      <alignment horizontal="center" vertical="center"/>
    </xf>
    <xf numFmtId="166" fontId="34" fillId="4" borderId="16" xfId="13" applyFont="1" applyFill="1" applyBorder="1" applyAlignment="1">
      <alignment horizontal="center" vertical="center"/>
    </xf>
    <xf numFmtId="166" fontId="34" fillId="4" borderId="17" xfId="13" applyFont="1" applyFill="1" applyBorder="1" applyAlignment="1">
      <alignment horizontal="center" vertical="center" wrapText="1"/>
    </xf>
    <xf numFmtId="0" fontId="34" fillId="0" borderId="0" xfId="9" applyFont="1"/>
    <xf numFmtId="0" fontId="34" fillId="21" borderId="18" xfId="9" applyFont="1" applyFill="1" applyBorder="1" applyAlignment="1">
      <alignment horizontal="center" vertical="center"/>
    </xf>
    <xf numFmtId="0" fontId="34" fillId="21" borderId="6" xfId="9" applyFont="1" applyFill="1" applyBorder="1" applyAlignment="1">
      <alignment horizontal="center" vertical="center" wrapText="1"/>
    </xf>
    <xf numFmtId="0" fontId="34" fillId="21" borderId="19" xfId="9" applyFont="1" applyFill="1" applyBorder="1" applyAlignment="1">
      <alignment horizontal="center" vertical="center" wrapText="1"/>
    </xf>
    <xf numFmtId="0" fontId="34" fillId="22" borderId="18" xfId="9" applyFont="1" applyFill="1" applyBorder="1" applyAlignment="1">
      <alignment horizontal="center" vertical="center"/>
    </xf>
    <xf numFmtId="0" fontId="34" fillId="22" borderId="6" xfId="9" applyFont="1" applyFill="1" applyBorder="1" applyAlignment="1">
      <alignment horizontal="left" vertical="center" wrapText="1"/>
    </xf>
    <xf numFmtId="0" fontId="34" fillId="22" borderId="6" xfId="9" applyFont="1" applyFill="1" applyBorder="1" applyAlignment="1">
      <alignment horizontal="center" vertical="center"/>
    </xf>
    <xf numFmtId="169" fontId="46" fillId="22" borderId="6" xfId="1" applyNumberFormat="1" applyFont="1" applyFill="1" applyBorder="1" applyAlignment="1">
      <alignment horizontal="center" vertical="center"/>
    </xf>
    <xf numFmtId="166" fontId="34" fillId="22" borderId="6" xfId="13" applyFont="1" applyFill="1" applyBorder="1" applyAlignment="1">
      <alignment horizontal="center" vertical="center"/>
    </xf>
    <xf numFmtId="166" fontId="34" fillId="22" borderId="19" xfId="13" applyFont="1" applyFill="1" applyBorder="1" applyAlignment="1">
      <alignment horizontal="center" vertical="center" wrapText="1"/>
    </xf>
    <xf numFmtId="0" fontId="46" fillId="0" borderId="18" xfId="9" applyFont="1" applyBorder="1" applyAlignment="1">
      <alignment horizontal="center" vertical="center"/>
    </xf>
    <xf numFmtId="0" fontId="46" fillId="0" borderId="6" xfId="9" applyFont="1" applyBorder="1" applyAlignment="1">
      <alignment horizontal="left" vertical="center" wrapText="1"/>
    </xf>
    <xf numFmtId="0" fontId="46" fillId="0" borderId="6" xfId="9" applyFont="1" applyBorder="1" applyAlignment="1">
      <alignment horizontal="center" vertical="center"/>
    </xf>
    <xf numFmtId="169" fontId="46" fillId="0" borderId="6" xfId="1" applyNumberFormat="1" applyFont="1" applyBorder="1" applyAlignment="1">
      <alignment horizontal="center" vertical="center"/>
    </xf>
    <xf numFmtId="166" fontId="46" fillId="0" borderId="6" xfId="13" applyFont="1" applyFill="1" applyBorder="1" applyAlignment="1">
      <alignment horizontal="center" vertical="center"/>
    </xf>
    <xf numFmtId="166" fontId="46" fillId="0" borderId="19" xfId="13" applyFont="1" applyBorder="1" applyAlignment="1">
      <alignment horizontal="center" vertical="center" wrapText="1"/>
    </xf>
    <xf numFmtId="166" fontId="46" fillId="0" borderId="0" xfId="9" applyNumberFormat="1" applyFont="1"/>
    <xf numFmtId="177" fontId="46" fillId="0" borderId="0" xfId="2" applyNumberFormat="1" applyFont="1"/>
    <xf numFmtId="166" fontId="46" fillId="0" borderId="19" xfId="9" applyNumberFormat="1" applyFont="1" applyBorder="1" applyAlignment="1">
      <alignment horizontal="center" vertical="center" wrapText="1"/>
    </xf>
    <xf numFmtId="166" fontId="46" fillId="22" borderId="6" xfId="13" applyFont="1" applyFill="1" applyBorder="1" applyAlignment="1">
      <alignment horizontal="center" vertical="center"/>
    </xf>
    <xf numFmtId="166" fontId="46" fillId="22" borderId="19" xfId="13" applyFont="1" applyFill="1" applyBorder="1" applyAlignment="1">
      <alignment horizontal="center" vertical="center" wrapText="1"/>
    </xf>
    <xf numFmtId="0" fontId="46" fillId="0" borderId="20" xfId="9" applyFont="1" applyBorder="1" applyAlignment="1">
      <alignment horizontal="center" vertical="center"/>
    </xf>
    <xf numFmtId="0" fontId="46" fillId="0" borderId="21" xfId="9" applyFont="1" applyBorder="1" applyAlignment="1">
      <alignment horizontal="left" vertical="center" wrapText="1"/>
    </xf>
    <xf numFmtId="0" fontId="46" fillId="0" borderId="21" xfId="9" applyFont="1" applyBorder="1" applyAlignment="1">
      <alignment horizontal="center" vertical="center"/>
    </xf>
    <xf numFmtId="169" fontId="46" fillId="0" borderId="21" xfId="1" applyNumberFormat="1" applyFont="1" applyBorder="1" applyAlignment="1">
      <alignment horizontal="center" vertical="center"/>
    </xf>
    <xf numFmtId="166" fontId="46" fillId="0" borderId="21" xfId="13" applyFont="1" applyFill="1" applyBorder="1" applyAlignment="1">
      <alignment horizontal="center" vertical="center"/>
    </xf>
    <xf numFmtId="166" fontId="46" fillId="0" borderId="22" xfId="9" applyNumberFormat="1" applyFont="1" applyBorder="1" applyAlignment="1">
      <alignment horizontal="center" vertical="center" wrapText="1"/>
    </xf>
    <xf numFmtId="0" fontId="46" fillId="0" borderId="0" xfId="9" applyFont="1" applyAlignment="1">
      <alignment horizontal="center" vertical="center"/>
    </xf>
    <xf numFmtId="0" fontId="46" fillId="0" borderId="0" xfId="9" applyFont="1" applyAlignment="1">
      <alignment horizontal="left" vertical="center" wrapText="1"/>
    </xf>
    <xf numFmtId="169" fontId="46" fillId="0" borderId="0" xfId="1" applyNumberFormat="1" applyFont="1" applyBorder="1" applyAlignment="1">
      <alignment horizontal="center" vertical="center"/>
    </xf>
    <xf numFmtId="166" fontId="46" fillId="0" borderId="0" xfId="9" applyNumberFormat="1" applyFont="1" applyAlignment="1">
      <alignment horizontal="center" vertical="center" wrapText="1"/>
    </xf>
    <xf numFmtId="0" fontId="34" fillId="0" borderId="0" xfId="9" applyFont="1" applyAlignment="1">
      <alignment horizontal="left" vertical="center" wrapText="1"/>
    </xf>
    <xf numFmtId="0" fontId="34" fillId="0" borderId="0" xfId="9" applyFont="1" applyAlignment="1">
      <alignment horizontal="left" vertical="center" wrapText="1"/>
    </xf>
    <xf numFmtId="0" fontId="34" fillId="21" borderId="15" xfId="9" applyFont="1" applyFill="1" applyBorder="1" applyAlignment="1">
      <alignment horizontal="center" vertical="center"/>
    </xf>
    <xf numFmtId="0" fontId="34" fillId="21" borderId="16" xfId="9" applyFont="1" applyFill="1" applyBorder="1" applyAlignment="1">
      <alignment horizontal="center" vertical="center" wrapText="1"/>
    </xf>
    <xf numFmtId="0" fontId="34" fillId="21" borderId="17" xfId="9" applyFont="1" applyFill="1" applyBorder="1" applyAlignment="1">
      <alignment horizontal="center" vertical="center" wrapText="1"/>
    </xf>
    <xf numFmtId="0" fontId="34" fillId="22" borderId="6" xfId="9" applyFont="1" applyFill="1" applyBorder="1" applyAlignment="1">
      <alignment horizontal="left" vertical="center" wrapText="1"/>
    </xf>
    <xf numFmtId="0" fontId="34" fillId="22" borderId="19" xfId="9" applyFont="1" applyFill="1" applyBorder="1" applyAlignment="1">
      <alignment horizontal="left" vertical="center" wrapText="1"/>
    </xf>
    <xf numFmtId="166" fontId="46" fillId="0" borderId="19" xfId="13" applyFont="1" applyFill="1" applyBorder="1" applyAlignment="1">
      <alignment horizontal="center" vertical="center" wrapText="1"/>
    </xf>
    <xf numFmtId="169" fontId="46" fillId="0" borderId="0" xfId="9" applyNumberFormat="1" applyFont="1"/>
    <xf numFmtId="9" fontId="46" fillId="0" borderId="0" xfId="9" applyNumberFormat="1" applyFont="1"/>
    <xf numFmtId="0" fontId="34" fillId="21" borderId="23" xfId="9" applyFont="1" applyFill="1" applyBorder="1" applyAlignment="1">
      <alignment horizontal="center" vertical="center" wrapText="1"/>
    </xf>
    <xf numFmtId="0" fontId="34" fillId="21" borderId="24" xfId="9" applyFont="1" applyFill="1" applyBorder="1" applyAlignment="1">
      <alignment horizontal="center" vertical="center" wrapText="1"/>
    </xf>
    <xf numFmtId="0" fontId="34" fillId="21" borderId="25" xfId="9" applyFont="1" applyFill="1" applyBorder="1" applyAlignment="1">
      <alignment horizontal="center" vertical="center" wrapText="1"/>
    </xf>
    <xf numFmtId="0" fontId="34" fillId="22" borderId="8" xfId="9" applyFont="1" applyFill="1" applyBorder="1" applyAlignment="1">
      <alignment horizontal="left" vertical="center" wrapText="1"/>
    </xf>
    <xf numFmtId="0" fontId="34" fillId="22" borderId="9" xfId="9" applyFont="1" applyFill="1" applyBorder="1" applyAlignment="1">
      <alignment horizontal="left" vertical="center" wrapText="1"/>
    </xf>
    <xf numFmtId="0" fontId="34" fillId="22" borderId="26" xfId="9" applyFont="1" applyFill="1" applyBorder="1" applyAlignment="1">
      <alignment horizontal="left" vertical="center" wrapText="1"/>
    </xf>
    <xf numFmtId="166" fontId="46" fillId="0" borderId="22" xfId="13" applyFont="1" applyBorder="1" applyAlignment="1">
      <alignment horizontal="center" vertical="center" wrapText="1"/>
    </xf>
    <xf numFmtId="0" fontId="50" fillId="20" borderId="27" xfId="11" applyFont="1" applyFill="1" applyBorder="1" applyAlignment="1">
      <alignment horizontal="center" vertical="center"/>
    </xf>
    <xf numFmtId="0" fontId="50" fillId="20" borderId="9" xfId="11" applyFont="1" applyFill="1" applyBorder="1" applyAlignment="1">
      <alignment horizontal="center" vertical="center"/>
    </xf>
    <xf numFmtId="0" fontId="50" fillId="20" borderId="10" xfId="11" applyFont="1" applyFill="1" applyBorder="1" applyAlignment="1">
      <alignment horizontal="center" vertical="center"/>
    </xf>
    <xf numFmtId="166" fontId="34" fillId="20" borderId="19" xfId="13" applyFont="1" applyFill="1" applyBorder="1" applyAlignment="1">
      <alignment horizontal="center" vertical="center" wrapText="1"/>
    </xf>
    <xf numFmtId="0" fontId="51" fillId="0" borderId="0" xfId="9" applyFont="1"/>
    <xf numFmtId="0" fontId="34" fillId="21" borderId="15" xfId="11" applyFont="1" applyFill="1" applyBorder="1" applyAlignment="1">
      <alignment horizontal="center" vertical="center"/>
    </xf>
    <xf numFmtId="0" fontId="51" fillId="0" borderId="18" xfId="9" applyFont="1" applyBorder="1" applyAlignment="1">
      <alignment horizontal="center" vertical="center"/>
    </xf>
    <xf numFmtId="0" fontId="46" fillId="0" borderId="6" xfId="9" applyFont="1" applyBorder="1" applyAlignment="1">
      <alignment vertical="center" wrapText="1"/>
    </xf>
    <xf numFmtId="0" fontId="46" fillId="0" borderId="6" xfId="9" applyFont="1" applyBorder="1" applyAlignment="1">
      <alignment horizontal="center" vertical="center"/>
    </xf>
    <xf numFmtId="0" fontId="51" fillId="0" borderId="6" xfId="9" applyFont="1" applyBorder="1" applyAlignment="1">
      <alignment horizontal="center" vertical="center"/>
    </xf>
    <xf numFmtId="0" fontId="51" fillId="0" borderId="19" xfId="9" applyFont="1" applyBorder="1" applyAlignment="1">
      <alignment horizontal="center" vertical="center"/>
    </xf>
    <xf numFmtId="0" fontId="34" fillId="0" borderId="6" xfId="9" applyFont="1" applyBorder="1" applyAlignment="1">
      <alignment horizontal="left" vertical="center" wrapText="1"/>
    </xf>
    <xf numFmtId="172" fontId="46" fillId="0" borderId="6" xfId="10" applyFont="1" applyFill="1" applyBorder="1" applyAlignment="1">
      <alignment horizontal="center" vertical="center"/>
    </xf>
    <xf numFmtId="3" fontId="46" fillId="0" borderId="6" xfId="10" applyNumberFormat="1" applyFont="1" applyFill="1" applyBorder="1" applyAlignment="1">
      <alignment horizontal="center" vertical="center"/>
    </xf>
    <xf numFmtId="0" fontId="50" fillId="20" borderId="28" xfId="11" applyFont="1" applyFill="1" applyBorder="1" applyAlignment="1">
      <alignment horizontal="center" vertical="center"/>
    </xf>
    <xf numFmtId="0" fontId="50" fillId="20" borderId="29" xfId="11" applyFont="1" applyFill="1" applyBorder="1" applyAlignment="1">
      <alignment horizontal="center" vertical="center"/>
    </xf>
    <xf numFmtId="0" fontId="50" fillId="20" borderId="30" xfId="11" applyFont="1" applyFill="1" applyBorder="1" applyAlignment="1">
      <alignment horizontal="center" vertical="center"/>
    </xf>
    <xf numFmtId="166" fontId="34" fillId="20" borderId="22" xfId="13" applyFont="1" applyFill="1" applyBorder="1" applyAlignment="1">
      <alignment horizontal="center" vertical="center" wrapText="1"/>
    </xf>
    <xf numFmtId="0" fontId="50" fillId="0" borderId="0" xfId="11" applyFont="1" applyAlignment="1">
      <alignment horizontal="center" vertical="center"/>
    </xf>
    <xf numFmtId="0" fontId="34" fillId="0" borderId="0" xfId="11" applyFont="1" applyAlignment="1">
      <alignment horizontal="center" vertical="center"/>
    </xf>
    <xf numFmtId="0" fontId="34" fillId="0" borderId="0" xfId="11" applyFont="1" applyAlignment="1">
      <alignment horizontal="left" vertical="center"/>
    </xf>
    <xf numFmtId="169" fontId="46" fillId="0" borderId="0" xfId="1" applyNumberFormat="1" applyFont="1" applyFill="1" applyBorder="1" applyAlignment="1">
      <alignment horizontal="center" vertical="center"/>
    </xf>
    <xf numFmtId="166" fontId="46" fillId="0" borderId="0" xfId="13" applyFont="1" applyFill="1" applyBorder="1" applyAlignment="1">
      <alignment horizontal="center" vertical="center" wrapText="1"/>
    </xf>
    <xf numFmtId="0" fontId="34" fillId="21" borderId="23" xfId="9" applyFont="1" applyFill="1" applyBorder="1" applyAlignment="1">
      <alignment vertical="center" wrapText="1"/>
    </xf>
    <xf numFmtId="0" fontId="34" fillId="21" borderId="24" xfId="9" applyFont="1" applyFill="1" applyBorder="1" applyAlignment="1">
      <alignment vertical="center" wrapText="1"/>
    </xf>
    <xf numFmtId="0" fontId="34" fillId="21" borderId="25" xfId="9" applyFont="1" applyFill="1" applyBorder="1" applyAlignment="1">
      <alignment vertical="center" wrapText="1"/>
    </xf>
    <xf numFmtId="169" fontId="52" fillId="0" borderId="0" xfId="1" applyNumberFormat="1" applyFont="1" applyAlignment="1" applyProtection="1">
      <alignment vertical="center"/>
      <protection locked="0"/>
    </xf>
    <xf numFmtId="0" fontId="34" fillId="0" borderId="0" xfId="9" applyFont="1" applyAlignment="1">
      <alignment horizontal="center" vertical="center"/>
    </xf>
    <xf numFmtId="0" fontId="34" fillId="0" borderId="0" xfId="9" applyFont="1" applyAlignment="1">
      <alignment vertical="center"/>
    </xf>
    <xf numFmtId="3" fontId="46" fillId="0" borderId="6" xfId="9" applyNumberFormat="1" applyFont="1" applyBorder="1" applyAlignment="1">
      <alignment horizontal="center" vertical="center"/>
    </xf>
    <xf numFmtId="166" fontId="46" fillId="0" borderId="6" xfId="13" applyFont="1" applyBorder="1" applyAlignment="1" applyProtection="1">
      <alignment horizontal="center" vertical="center"/>
    </xf>
    <xf numFmtId="169" fontId="46" fillId="0" borderId="0" xfId="9" applyNumberFormat="1" applyFont="1" applyAlignment="1">
      <alignment vertical="center"/>
    </xf>
    <xf numFmtId="166" fontId="46" fillId="0" borderId="6" xfId="23" applyFont="1" applyFill="1" applyBorder="1" applyAlignment="1">
      <alignment horizontal="center" vertical="center"/>
    </xf>
    <xf numFmtId="166" fontId="46" fillId="0" borderId="6" xfId="9" applyNumberFormat="1" applyFont="1" applyBorder="1" applyAlignment="1">
      <alignment horizontal="center" vertical="center" wrapText="1"/>
    </xf>
    <xf numFmtId="0" fontId="34" fillId="22" borderId="18" xfId="9" applyFont="1" applyFill="1" applyBorder="1" applyAlignment="1">
      <alignment horizontal="left" vertical="center"/>
    </xf>
    <xf numFmtId="3" fontId="46" fillId="13" borderId="6" xfId="9" applyNumberFormat="1" applyFont="1" applyFill="1" applyBorder="1" applyAlignment="1">
      <alignment horizontal="center" vertical="center"/>
    </xf>
    <xf numFmtId="3" fontId="46" fillId="0" borderId="21" xfId="9" applyNumberFormat="1" applyFont="1" applyBorder="1" applyAlignment="1">
      <alignment horizontal="center" vertical="center"/>
    </xf>
    <xf numFmtId="166" fontId="46" fillId="0" borderId="21" xfId="13" applyFont="1" applyBorder="1" applyAlignment="1" applyProtection="1">
      <alignment horizontal="center" vertical="center"/>
    </xf>
    <xf numFmtId="3" fontId="46" fillId="0" borderId="0" xfId="9" applyNumberFormat="1" applyFont="1" applyAlignment="1">
      <alignment horizontal="center" vertical="center"/>
    </xf>
    <xf numFmtId="166" fontId="46" fillId="0" borderId="0" xfId="13" applyFont="1" applyBorder="1" applyAlignment="1" applyProtection="1">
      <alignment horizontal="center" vertical="center"/>
    </xf>
    <xf numFmtId="0" fontId="34" fillId="21" borderId="16" xfId="9" applyFont="1" applyFill="1" applyBorder="1" applyAlignment="1">
      <alignment vertical="center" wrapText="1"/>
    </xf>
    <xf numFmtId="0" fontId="34" fillId="21" borderId="17" xfId="9" applyFont="1" applyFill="1" applyBorder="1" applyAlignment="1">
      <alignment vertical="center" wrapText="1"/>
    </xf>
    <xf numFmtId="3" fontId="46" fillId="22" borderId="6" xfId="9" applyNumberFormat="1" applyFont="1" applyFill="1" applyBorder="1" applyAlignment="1">
      <alignment horizontal="center" vertical="center"/>
    </xf>
    <xf numFmtId="166" fontId="46" fillId="22" borderId="6" xfId="13" applyFont="1" applyFill="1" applyBorder="1" applyAlignment="1" applyProtection="1">
      <alignment horizontal="center" vertical="center"/>
    </xf>
    <xf numFmtId="166" fontId="46" fillId="22" borderId="19" xfId="9" applyNumberFormat="1" applyFont="1" applyFill="1" applyBorder="1" applyAlignment="1">
      <alignment horizontal="center" vertical="center" wrapText="1"/>
    </xf>
    <xf numFmtId="0" fontId="34" fillId="20" borderId="18" xfId="11" applyFont="1" applyFill="1" applyBorder="1" applyAlignment="1">
      <alignment horizontal="center" vertical="center"/>
    </xf>
    <xf numFmtId="0" fontId="34" fillId="20" borderId="6" xfId="11" applyFont="1" applyFill="1" applyBorder="1" applyAlignment="1">
      <alignment horizontal="center" vertical="center"/>
    </xf>
    <xf numFmtId="0" fontId="34" fillId="21" borderId="18" xfId="11" applyFont="1" applyFill="1" applyBorder="1" applyAlignment="1">
      <alignment horizontal="center" vertical="center"/>
    </xf>
    <xf numFmtId="0" fontId="34" fillId="21" borderId="6" xfId="9" applyFont="1" applyFill="1" applyBorder="1" applyAlignment="1">
      <alignment horizontal="left" vertical="center" wrapText="1"/>
    </xf>
    <xf numFmtId="172" fontId="46" fillId="21" borderId="6" xfId="10" applyFont="1" applyFill="1" applyBorder="1" applyAlignment="1">
      <alignment horizontal="center" vertical="center"/>
    </xf>
    <xf numFmtId="169" fontId="46" fillId="21" borderId="6" xfId="1" applyNumberFormat="1" applyFont="1" applyFill="1" applyBorder="1" applyAlignment="1">
      <alignment horizontal="center" vertical="center"/>
    </xf>
    <xf numFmtId="166" fontId="46" fillId="21" borderId="6" xfId="13" applyFont="1" applyFill="1" applyBorder="1" applyAlignment="1">
      <alignment horizontal="center" vertical="center" wrapText="1"/>
    </xf>
    <xf numFmtId="166" fontId="51" fillId="21" borderId="19" xfId="13" applyFont="1" applyFill="1" applyBorder="1" applyAlignment="1">
      <alignment horizontal="center" vertical="center" wrapText="1"/>
    </xf>
    <xf numFmtId="0" fontId="34" fillId="0" borderId="18" xfId="9" applyFont="1" applyBorder="1" applyAlignment="1">
      <alignment horizontal="center" vertical="center"/>
    </xf>
    <xf numFmtId="0" fontId="50" fillId="20" borderId="18" xfId="11" applyFont="1" applyFill="1" applyBorder="1" applyAlignment="1">
      <alignment horizontal="center" vertical="center"/>
    </xf>
    <xf numFmtId="0" fontId="50" fillId="20" borderId="6" xfId="11" applyFont="1" applyFill="1" applyBorder="1" applyAlignment="1">
      <alignment horizontal="center" vertical="center"/>
    </xf>
    <xf numFmtId="0" fontId="34" fillId="21" borderId="8" xfId="9" applyFont="1" applyFill="1" applyBorder="1" applyAlignment="1">
      <alignment horizontal="left" vertical="center" wrapText="1"/>
    </xf>
    <xf numFmtId="0" fontId="34" fillId="21" borderId="9" xfId="9" applyFont="1" applyFill="1" applyBorder="1" applyAlignment="1">
      <alignment horizontal="left" vertical="center" wrapText="1"/>
    </xf>
    <xf numFmtId="0" fontId="34" fillId="21" borderId="26" xfId="9" applyFont="1" applyFill="1" applyBorder="1" applyAlignment="1">
      <alignment horizontal="left" vertical="center" wrapText="1"/>
    </xf>
    <xf numFmtId="14" fontId="46" fillId="0" borderId="18" xfId="9" applyNumberFormat="1" applyFont="1" applyBorder="1" applyAlignment="1">
      <alignment horizontal="center" vertical="center"/>
    </xf>
    <xf numFmtId="169" fontId="46" fillId="0" borderId="6" xfId="1" applyNumberFormat="1" applyFont="1" applyFill="1" applyBorder="1" applyAlignment="1">
      <alignment horizontal="center" vertical="center"/>
    </xf>
    <xf numFmtId="0" fontId="46" fillId="0" borderId="31" xfId="9" applyFont="1" applyBorder="1" applyAlignment="1">
      <alignment horizontal="center" vertical="center"/>
    </xf>
    <xf numFmtId="0" fontId="46" fillId="0" borderId="11" xfId="9" applyFont="1" applyBorder="1" applyAlignment="1">
      <alignment horizontal="left" vertical="center" wrapText="1"/>
    </xf>
    <xf numFmtId="0" fontId="46" fillId="0" borderId="11" xfId="9" applyFont="1" applyBorder="1" applyAlignment="1">
      <alignment horizontal="center" vertical="center"/>
    </xf>
    <xf numFmtId="169" fontId="46" fillId="0" borderId="11" xfId="1" applyNumberFormat="1" applyFont="1" applyBorder="1" applyAlignment="1">
      <alignment horizontal="center" vertical="center"/>
    </xf>
    <xf numFmtId="166" fontId="46" fillId="0" borderId="11" xfId="13" applyFont="1" applyFill="1" applyBorder="1" applyAlignment="1">
      <alignment horizontal="center" vertical="center"/>
    </xf>
    <xf numFmtId="166" fontId="46" fillId="0" borderId="32" xfId="9" applyNumberFormat="1" applyFont="1" applyBorder="1" applyAlignment="1">
      <alignment horizontal="center" vertical="center" wrapText="1"/>
    </xf>
    <xf numFmtId="0" fontId="47" fillId="21" borderId="33" xfId="9" applyFont="1" applyFill="1" applyBorder="1" applyAlignment="1">
      <alignment horizontal="center" vertical="center"/>
    </xf>
    <xf numFmtId="0" fontId="47" fillId="21" borderId="34" xfId="9" applyFont="1" applyFill="1" applyBorder="1" applyAlignment="1">
      <alignment horizontal="left" vertical="center" wrapText="1"/>
    </xf>
    <xf numFmtId="0" fontId="47" fillId="21" borderId="34" xfId="9" applyFont="1" applyFill="1" applyBorder="1" applyAlignment="1">
      <alignment horizontal="center" vertical="center"/>
    </xf>
    <xf numFmtId="166" fontId="47" fillId="21" borderId="34" xfId="13" applyFont="1" applyFill="1" applyBorder="1" applyAlignment="1">
      <alignment horizontal="center" vertical="center"/>
    </xf>
    <xf numFmtId="166" fontId="47" fillId="21" borderId="35" xfId="13" applyFont="1" applyFill="1" applyBorder="1" applyAlignment="1">
      <alignment horizontal="center" vertical="center" wrapText="1"/>
    </xf>
    <xf numFmtId="0" fontId="53" fillId="0" borderId="0" xfId="9" applyFont="1" applyAlignment="1">
      <alignment horizontal="center" vertical="center"/>
    </xf>
    <xf numFmtId="0" fontId="53" fillId="0" borderId="0" xfId="9" applyFont="1" applyAlignment="1">
      <alignment horizontal="left" vertical="center" wrapText="1"/>
    </xf>
    <xf numFmtId="166" fontId="53" fillId="0" borderId="0" xfId="13" applyFont="1" applyFill="1" applyBorder="1" applyAlignment="1">
      <alignment horizontal="center" vertical="center"/>
    </xf>
    <xf numFmtId="166" fontId="53" fillId="0" borderId="0" xfId="13" applyFont="1" applyFill="1" applyBorder="1" applyAlignment="1">
      <alignment horizontal="center" vertical="center" wrapText="1"/>
    </xf>
    <xf numFmtId="0" fontId="34" fillId="17" borderId="15" xfId="9" applyFont="1" applyFill="1" applyBorder="1" applyAlignment="1">
      <alignment horizontal="left" vertical="center" wrapText="1"/>
    </xf>
    <xf numFmtId="0" fontId="34" fillId="17" borderId="16" xfId="9" applyFont="1" applyFill="1" applyBorder="1" applyAlignment="1">
      <alignment horizontal="left" vertical="center" wrapText="1"/>
    </xf>
    <xf numFmtId="166" fontId="34" fillId="17" borderId="17" xfId="13" applyFont="1" applyFill="1" applyBorder="1" applyAlignment="1">
      <alignment horizontal="center" vertical="center"/>
    </xf>
    <xf numFmtId="0" fontId="34" fillId="17" borderId="18" xfId="9" applyFont="1" applyFill="1" applyBorder="1" applyAlignment="1">
      <alignment horizontal="left" vertical="center" wrapText="1"/>
    </xf>
    <xf numFmtId="0" fontId="34" fillId="17" borderId="6" xfId="9" applyFont="1" applyFill="1" applyBorder="1" applyAlignment="1">
      <alignment horizontal="left" vertical="center" wrapText="1"/>
    </xf>
    <xf numFmtId="166" fontId="46" fillId="17" borderId="19" xfId="13" applyFont="1" applyFill="1" applyBorder="1" applyAlignment="1">
      <alignment horizontal="center" vertical="center"/>
    </xf>
    <xf numFmtId="0" fontId="34" fillId="17" borderId="20" xfId="9" applyFont="1" applyFill="1" applyBorder="1" applyAlignment="1">
      <alignment horizontal="left" vertical="center" wrapText="1"/>
    </xf>
    <xf numFmtId="0" fontId="34" fillId="17" borderId="21" xfId="9" applyFont="1" applyFill="1" applyBorder="1" applyAlignment="1">
      <alignment horizontal="left" vertical="center" wrapText="1"/>
    </xf>
    <xf numFmtId="166" fontId="34" fillId="17" borderId="22" xfId="13" applyFont="1" applyFill="1" applyBorder="1" applyAlignment="1">
      <alignment horizontal="center" vertical="center"/>
    </xf>
    <xf numFmtId="0" fontId="48" fillId="0" borderId="0" xfId="0" applyFont="1" applyAlignment="1">
      <alignment wrapText="1"/>
    </xf>
    <xf numFmtId="166" fontId="48" fillId="0" borderId="0" xfId="13" applyFont="1" applyFill="1" applyAlignment="1">
      <alignment horizontal="center" vertical="center"/>
    </xf>
    <xf numFmtId="0" fontId="54" fillId="0" borderId="0" xfId="0" applyFont="1"/>
    <xf numFmtId="0" fontId="55" fillId="0" borderId="0" xfId="0" applyFont="1" applyAlignment="1">
      <alignment wrapText="1"/>
    </xf>
    <xf numFmtId="0" fontId="36" fillId="0" borderId="0" xfId="0" applyFont="1"/>
    <xf numFmtId="0" fontId="47" fillId="0" borderId="0" xfId="0" applyFont="1"/>
    <xf numFmtId="0" fontId="56" fillId="0" borderId="0" xfId="0" applyFont="1"/>
    <xf numFmtId="166" fontId="48" fillId="0" borderId="0" xfId="0" applyNumberFormat="1" applyFont="1"/>
    <xf numFmtId="0" fontId="46" fillId="0" borderId="0" xfId="9" applyFont="1" applyAlignment="1">
      <alignment vertical="center"/>
    </xf>
    <xf numFmtId="0" fontId="46" fillId="0" borderId="0" xfId="9" applyFont="1" applyAlignment="1">
      <alignment wrapText="1"/>
    </xf>
  </cellXfs>
  <cellStyles count="24">
    <cellStyle name="Comma [0] 15" xfId="6" xr:uid="{00000000-0005-0000-0000-000000000000}"/>
    <cellStyle name="Comma [0] 15 2" xfId="16" xr:uid="{00000000-0005-0000-0000-000001000000}"/>
    <cellStyle name="Comma [0] 2 2" xfId="8" xr:uid="{00000000-0005-0000-0000-000002000000}"/>
    <cellStyle name="Comma [0] 2 2 2" xfId="18" xr:uid="{00000000-0005-0000-0000-000003000000}"/>
    <cellStyle name="Comma [0] 22" xfId="7" xr:uid="{00000000-0005-0000-0000-000004000000}"/>
    <cellStyle name="Comma [0] 22 2" xfId="17" xr:uid="{00000000-0005-0000-0000-000005000000}"/>
    <cellStyle name="Comma [0] 3" xfId="5" xr:uid="{00000000-0005-0000-0000-000006000000}"/>
    <cellStyle name="Comma [0] 3 2" xfId="15" xr:uid="{00000000-0005-0000-0000-000007000000}"/>
    <cellStyle name="Comma [0] 8 2" xfId="3" xr:uid="{00000000-0005-0000-0000-000008000000}"/>
    <cellStyle name="Comma 2" xfId="10" xr:uid="{00000000-0005-0000-0000-000009000000}"/>
    <cellStyle name="Comma 2 2" xfId="19" xr:uid="{00000000-0005-0000-0000-00000A000000}"/>
    <cellStyle name="Comma 3" xfId="12" xr:uid="{00000000-0005-0000-0000-00000B000000}"/>
    <cellStyle name="Comma 32 2" xfId="4" xr:uid="{00000000-0005-0000-0000-00000C000000}"/>
    <cellStyle name="Comma 32 2 2" xfId="14" xr:uid="{00000000-0005-0000-0000-00000D000000}"/>
    <cellStyle name="Milliers" xfId="1" builtinId="3"/>
    <cellStyle name="Milliers [0]" xfId="13" builtinId="6"/>
    <cellStyle name="Milliers [0] 3" xfId="23" xr:uid="{63EE9361-5E72-4B4F-AA9A-178EF86B8B24}"/>
    <cellStyle name="Milliers 2" xfId="22" xr:uid="{482D4E42-5679-4B6B-A198-D74F7EED4445}"/>
    <cellStyle name="Normal" xfId="0" builtinId="0"/>
    <cellStyle name="Normal 2 2" xfId="9" xr:uid="{00000000-0005-0000-0000-000011000000}"/>
    <cellStyle name="Normal 2 2 2" xfId="21" xr:uid="{CB8D1A90-762B-4982-B90A-9DB8F6B09FA3}"/>
    <cellStyle name="Normal 5" xfId="11" xr:uid="{00000000-0005-0000-0000-000012000000}"/>
    <cellStyle name="Normal 5 2" xfId="20" xr:uid="{914B7628-4A37-45D2-985A-ECB4EE453A3F}"/>
    <cellStyle name="Pourcentage" xfId="2" builtinId="5"/>
  </cellStyles>
  <dxfs count="8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center" textRotation="0" wrapText="1" indent="0" justifyLastLine="0" shrinkToFit="0" readingOrder="0"/>
    </dxf>
    <dxf>
      <numFmt numFmtId="171" formatCode="0.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numFmt numFmtId="169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numFmt numFmtId="169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numFmt numFmtId="169" formatCode="_-* #,##0\ _€_-;\-* #,##0\ _€_-;_-* &quot;-&quot;??\ _€_-;_-@_-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</font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numFmt numFmtId="13" formatCode="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5" tint="0.59999389629810485"/>
        </patternFill>
      </fill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top" textRotation="0" wrapText="1" indent="0" justifyLastLine="0" shrinkToFit="0" readingOrder="0"/>
    </dxf>
    <dxf>
      <numFmt numFmtId="0" formatCode="General"/>
      <alignment horizontal="right" vertical="center" textRotation="0" wrapText="1" indent="0" justifyLastLine="0" shrinkToFit="0" readingOrder="0"/>
    </dxf>
    <dxf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top" textRotation="0" wrapText="1" indent="0" justifyLastLine="0" shrinkToFit="0" readingOrder="0"/>
    </dxf>
    <dxf>
      <numFmt numFmtId="0" formatCode="General"/>
      <alignment horizontal="right" vertical="center" textRotation="0" wrapText="1" indent="0" justifyLastLine="0" shrinkToFit="0" readingOrder="0"/>
    </dxf>
    <dxf>
      <numFmt numFmtId="169" formatCode="_-* #,##0\ _€_-;\-* #,##0\ _€_-;_-* &quot;-&quot;??\ _€_-;_-@_-"/>
      <alignment horizontal="right" vertical="top" textRotation="0" wrapText="1" indent="0" justifyLastLine="0" shrinkToFit="0" readingOrder="0"/>
    </dxf>
    <dxf>
      <numFmt numFmtId="0" formatCode="General"/>
    </dxf>
    <dxf>
      <numFmt numFmtId="169" formatCode="_-* #,##0\ _€_-;\-* #,##0\ _€_-;_-* &quot;-&quot;??\ _€_-;_-@_-"/>
      <alignment horizontal="right" vertical="top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9" formatCode="_-* #,##0\ _€_-;\-* #,##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9" formatCode="_-* #,##0\ _€_-;\-* #,##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9" formatCode="_-* #,##0\ _€_-;\-* #,##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9" formatCode="_-* #,##0\ _€_-;\-* #,##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9" formatCode="_-* #,##0\ _€_-;\-* #,##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9" formatCode="_-* #,##0\ _€_-;\-* #,##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9" formatCode="_-* #,##0\ _€_-;\-* #,##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9" formatCode="_-* #,##0\ _€_-;\-* #,##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9" formatCode="_-* #,##0\ _€_-;\-* #,##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9" formatCode="_-* #,##0\ _€_-;\-* #,##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9" formatCode="_-* #,##0\ _€_-;\-* #,##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9" formatCode="_-* #,##0\ _€_-;\-* #,##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9" formatCode="_-* #,##0\ _€_-;\-* #,##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9" formatCode="_-* #,##0\ _€_-;\-* #,##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9" formatCode="_-* #,##0\ _€_-;\-* #,##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9" formatCode="_-* #,##0\ _€_-;\-* #,##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9" formatCode="_-* #,##0\ _€_-;\-* #,##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9" formatCode="_-* #,##0\ _€_-;\-* #,##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9" formatCode="_-* #,##0\ _€_-;\-* #,##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9" formatCode="_-* #,##0\ _€_-;\-* #,##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9" formatCode="_-* #,##0\ _€_-;\-* #,##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9" formatCode="_-* #,##0\ _€_-;\-* #,##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9" formatCode="_-* #,##0\ _€_-;\-* #,##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9" formatCode="_-* #,##0\ _€_-;\-* #,##0\ _€_-;_-* &quot;-&quot;??\ _€_-;_-@_-"/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wrapText="0" indent="0" justifyLastLine="0" shrinkToFit="0" readingOrder="0"/>
    </dxf>
    <dxf>
      <numFmt numFmtId="171" formatCode="0.0%"/>
      <fill>
        <patternFill patternType="solid">
          <fgColor indexed="64"/>
          <bgColor theme="5" tint="0.59999389629810485"/>
        </patternFill>
      </fill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numFmt numFmtId="0" formatCode="General"/>
      <alignment horizontal="right" vertical="center" textRotation="0" wrapText="1" indent="0" justifyLastLine="0" shrinkToFit="0" readingOrder="0"/>
    </dxf>
    <dxf>
      <numFmt numFmtId="169" formatCode="_-* #,##0\ _€_-;\-* #,##0\ _€_-;_-* &quot;-&quot;??\ _€_-;_-@_-"/>
      <alignment horizontal="right" vertical="top" textRotation="0" wrapText="1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left" vertical="top" textRotation="0" wrapText="1" indent="0" justifyLastLine="0" shrinkToFit="0" readingOrder="0"/>
    </dxf>
    <dxf>
      <numFmt numFmtId="0" formatCode="General"/>
      <alignment horizontal="right" vertical="center" textRotation="0" wrapText="1" indent="0" justifyLastLine="0" shrinkToFit="0" readingOrder="0"/>
    </dxf>
    <dxf>
      <numFmt numFmtId="169" formatCode="_-* #,##0\ _€_-;\-* #,##0\ _€_-;_-* &quot;-&quot;??\ _€_-;_-@_-"/>
      <alignment horizontal="right" vertical="top" textRotation="0" wrapText="1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left" vertical="top" textRotation="0" wrapText="0" indent="0" justifyLastLine="0" shrinkToFit="0" readingOrder="0"/>
    </dxf>
    <dxf>
      <numFmt numFmtId="0" formatCode="General"/>
    </dxf>
    <dxf>
      <numFmt numFmtId="169" formatCode="_-* #,##0\ _€_-;\-* #,##0\ _€_-;_-* &quot;-&quot;??\ _€_-;_-@_-"/>
      <alignment horizontal="right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numFmt numFmtId="167" formatCode="_-* #,##0.00\ _€_-;\-* #,##0.00\ _€_-;_-* &quot;-&quot;??\ _€_-;_-@_-"/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top" textRotation="0" wrapText="1" indent="0" justifyLastLine="0" shrinkToFit="0" readingOrder="0"/>
    </dxf>
    <dxf>
      <numFmt numFmtId="169" formatCode="_-* #,##0\ _€_-;\-* #,##0\ _€_-;_-* &quot;-&quot;??\ _€_-;_-@_-"/>
      <alignment horizontal="right" vertical="top" textRotation="0" wrapText="1" indent="0" justifyLastLine="0" shrinkToFit="0" readingOrder="0"/>
    </dxf>
    <dxf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</font>
      <alignment horizontal="center" vertical="top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alignment horizontal="right" vertical="top" textRotation="0" wrapText="1" indent="0" justifyLastLine="0" shrinkToFit="0" readingOrder="0"/>
    </dxf>
    <dxf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</font>
      <alignment horizontal="center" vertical="top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169" formatCode="_-* #,##0\ _€_-;\-* #,##0\ _€_-;_-* &quot;-&quot;??\ _€_-;_-@_-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69" formatCode="_-* #,##0\ _€_-;\-* #,##0\ _€_-;_-* &quot;-&quot;??\ _€_-;_-@_-"/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69" formatCode="_-* #,##0\ _€_-;\-* #,##0\ _€_-;_-* &quot;-&quot;??\ _€_-;_-@_-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69" formatCode="_-* #,##0\ _€_-;\-* #,##0\ _€_-;_-* &quot;-&quot;??\ _€_-;_-@_-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169" formatCode="_-* #,##0\ _€_-;\-* #,##0\ _€_-;_-* &quot;-&quot;??\ _€_-;_-@_-"/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69" formatCode="_-* #,##0\ _€_-;\-* #,##0\ _€_-;_-* &quot;-&quot;??\ _€_-;_-@_-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169" formatCode="_-* #,##0\ _€_-;\-* #,##0\ _€_-;_-* &quot;-&quot;??\ _€_-;_-@_-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169" formatCode="_-* #,##0\ _€_-;\-* #,##0\ _€_-;_-* &quot;-&quot;??\ _€_-;_-@_-"/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169" formatCode="_-* #,##0\ _€_-;\-* #,##0\ _€_-;_-* &quot;-&quot;??\ _€_-;_-@_-"/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169" formatCode="_-* #,##0\ _€_-;\-* #,##0\ _€_-;_-* &quot;-&quot;??\ _€_-;_-@_-"/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71" formatCode="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71" formatCode="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71" formatCode="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71" formatCode="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71" formatCode="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71" formatCode="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71" formatCode="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71" formatCode="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71" formatCode="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71" formatCode="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71" formatCode="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71" formatCode="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71" formatCode="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71" formatCode="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71" formatCode="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71" formatCode="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71" formatCode="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71" formatCode="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71" formatCode="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71" formatCode="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71" formatCode="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71" formatCode="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71" formatCode="0.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71" formatCode="0.0%"/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69" formatCode="_-* #,##0\ _€_-;\-* #,##0\ _€_-;_-* &quot;-&quot;??\ _€_-;_-@_-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69" formatCode="_-* #,##0\ _€_-;\-* #,##0\ _€_-;_-* &quot;-&quot;??\ _€_-;_-@_-"/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73" formatCode="_-* #,##0.0\ _€_-;\-* #,##0.0\ _€_-;_-* &quot;-&quot;??\ _€_-;_-@_-"/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Garamond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Garamond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Garamond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Garamond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</dxf>
    <dxf>
      <font>
        <strike val="0"/>
        <outline val="0"/>
        <shadow val="0"/>
        <u val="none"/>
        <vertAlign val="baseline"/>
        <sz val="12"/>
        <name val="Garamond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Garamond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4" formatCode="0.00%"/>
      <fill>
        <patternFill patternType="solid">
          <fgColor indexed="64"/>
          <bgColor theme="5" tint="0.5999938962981048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69" formatCode="_-* #,##0\ _€_-;\-* #,##0\ _€_-;_-* &quot;-&quot;??\ _€_-;_-@_-"/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9" formatCode="_-* #,##0\ _€_-;\-* #,##0\ _€_-;_-* &quot;-&quot;??\ _€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169" formatCode="_-* #,##0\ _€_-;\-* #,##0\ _€_-;_-* &quot;-&quot;??\ _€_-;_-@_-"/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numFmt numFmtId="0" formatCode="General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Garamond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Garamond"/>
        <scheme val="none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Garamond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strike val="0"/>
        <outline val="0"/>
        <shadow val="0"/>
        <u val="none"/>
        <vertAlign val="baseline"/>
        <sz val="12"/>
        <name val="Garamond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aramond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numFmt numFmtId="167" formatCode="_-* #,##0.00\ _€_-;\-* #,##0.0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Garamond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7" formatCode="_-* #,##0.00\ _€_-;\-* #,##0.00\ _€_-;_-* &quot;-&quot;??\ _€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fill>
        <patternFill patternType="solid">
          <fgColor indexed="64"/>
          <bgColor theme="5" tint="0.59999389629810485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name val="Garamond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numFmt numFmtId="169" formatCode="_-* #,##0\ _€_-;\-* #,##0\ _€_-;_-* &quot;-&quot;??\ _€_-;_-@_-"/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numFmt numFmtId="169" formatCode="_-* #,##0\ _€_-;\-* #,##0\ _€_-;_-* &quot;-&quot;??\ _€_-;_-@_-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Garamond"/>
        <scheme val="none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Garamond"/>
        <scheme val="none"/>
      </font>
      <numFmt numFmtId="169" formatCode="_-* #,##0\ _€_-;\-* #,##0\ _€_-;_-* &quot;-&quot;??\ _€_-;_-@_-"/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family val="1"/>
        <scheme val="none"/>
      </font>
      <numFmt numFmtId="166" formatCode="_-* #,##0\ _€_-;\-* #,##0\ _€_-;_-* &quot;-&quot;\ _€_-;_-@_-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Garamond"/>
        <family val="1"/>
        <scheme val="none"/>
      </font>
      <numFmt numFmtId="166" formatCode="_-* #,##0\ _€_-;\-* #,##0\ _€_-;_-* &quot;-&quot;\ _€_-;_-@_-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Garamond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name val="Garamond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name val="Garamond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</dxf>
    <dxf>
      <font>
        <strike val="0"/>
        <outline val="0"/>
        <shadow val="0"/>
        <u val="none"/>
        <vertAlign val="baseline"/>
        <name val="Garamond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Garamond"/>
        <scheme val="none"/>
      </font>
    </dxf>
    <dxf>
      <font>
        <strike val="0"/>
        <outline val="0"/>
        <shadow val="0"/>
        <u val="none"/>
        <vertAlign val="baseline"/>
        <name val="Garamond"/>
        <scheme val="none"/>
      </font>
    </dxf>
    <dxf>
      <font>
        <strike val="0"/>
        <outline val="0"/>
        <shadow val="0"/>
        <u val="none"/>
        <vertAlign val="baseline"/>
        <name val="Garamond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</dxf>
    <dxf>
      <numFmt numFmtId="171" formatCode="0.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5" tint="0.59999389629810485"/>
        </patternFill>
      </fill>
      <alignment horizontal="righ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numFmt numFmtId="169" formatCode="_-* #,##0\ _€_-;\-* #,##0\ _€_-;_-* &quot;-&quot;??\ _€_-;_-@_-"/>
      <fill>
        <patternFill patternType="solid">
          <fgColor indexed="64"/>
          <bgColor theme="5" tint="0.5999938962981048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numFmt numFmtId="169" formatCode="_-* #,##0\ _€_-;\-* #,##0\ _€_-;_-* &quot;-&quot;??\ _€_-;_-@_-"/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numFmt numFmtId="169" formatCode="_-* #,##0\ _€_-;\-* #,##0\ _€_-;_-* &quot;-&quot;??\ _€_-;_-@_-"/>
      <alignment horizontal="right" vertical="top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2"/>
        <name val="Garamond"/>
        <scheme val="none"/>
      </font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Garamond"/>
        <scheme val="none"/>
      </font>
      <numFmt numFmtId="14" formatCode="0.00%"/>
      <border diagonalUp="0" diagonalDown="0" outline="0">
        <left style="thin">
          <color theme="3" tint="0.79998168889431442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169" formatCode="_-* #,##0\ _€_-;\-* #,##0\ _€_-;_-* &quot;-&quot;??\ _€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Garamond"/>
        <scheme val="none"/>
      </font>
      <numFmt numFmtId="169" formatCode="_-* #,##0\ _€_-;\-* #,##0\ _€_-;_-* &quot;-&quot;??\ _€_-;_-@_-"/>
      <border diagonalUp="0" diagonalDown="0" outline="0">
        <left style="thin">
          <color theme="3" tint="0.79998168889431442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169" formatCode="_-* #,##0\ _€_-;\-* #,##0\ _€_-;_-* &quot;-&quot;??\ _€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Garamond"/>
        <scheme val="none"/>
      </font>
      <numFmt numFmtId="169" formatCode="_-* #,##0\ _€_-;\-* #,##0\ _€_-;_-* &quot;-&quot;??\ _€_-;_-@_-"/>
      <border diagonalUp="0" diagonalDown="0" outline="0">
        <left style="thin">
          <color theme="3" tint="0.79998168889431442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169" formatCode="_-* #,##0\ _€_-;\-* #,##0\ _€_-;_-* &quot;-&quot;??\ _€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Garamond"/>
        <scheme val="none"/>
      </font>
      <numFmt numFmtId="169" formatCode="_-* #,##0\ _€_-;\-* #,##0\ _€_-;_-* &quot;-&quot;??\ _€_-;_-@_-"/>
      <border diagonalUp="0" diagonalDown="0" outline="0">
        <left style="thin">
          <color theme="3" tint="0.79998168889431442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Garamond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Garamond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78849</xdr:colOff>
      <xdr:row>3</xdr:row>
      <xdr:rowOff>844</xdr:rowOff>
    </xdr:from>
    <xdr:to>
      <xdr:col>5</xdr:col>
      <xdr:colOff>857250</xdr:colOff>
      <xdr:row>8</xdr:row>
      <xdr:rowOff>143949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D0E77089-7741-4C3A-9A57-122817555AB9}"/>
            </a:ext>
          </a:extLst>
        </xdr:cNvPr>
        <xdr:cNvSpPr/>
      </xdr:nvSpPr>
      <xdr:spPr>
        <a:xfrm>
          <a:off x="4812774" y="743794"/>
          <a:ext cx="2607201" cy="153375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100">
              <a:latin typeface="Arial" pitchFamily="34" charset="0"/>
              <a:cs typeface="Arial" pitchFamily="34" charset="0"/>
            </a:rPr>
            <a:t>CLIENT: FER</a:t>
          </a:r>
          <a:endParaRPr lang="fr-FR" sz="1100" b="1">
            <a:latin typeface="Arial" pitchFamily="34" charset="0"/>
            <a:cs typeface="Arial" pitchFamily="34" charset="0"/>
          </a:endParaRPr>
        </a:p>
        <a:p>
          <a:pPr algn="l"/>
          <a:endParaRPr lang="fr-FR" sz="1100">
            <a:latin typeface="Arial" pitchFamily="34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100">
              <a:latin typeface="Arial" pitchFamily="34" charset="0"/>
              <a:cs typeface="Arial" pitchFamily="34" charset="0"/>
            </a:rPr>
            <a:t>ADRESSE:</a:t>
          </a:r>
          <a:r>
            <a:rPr lang="fr-FR" sz="1100" baseline="0">
              <a:latin typeface="Arial" pitchFamily="34" charset="0"/>
              <a:cs typeface="Arial" pitchFamily="34" charset="0"/>
            </a:rPr>
            <a:t>   </a:t>
          </a:r>
          <a:endParaRPr lang="fr-FR" sz="1100">
            <a:latin typeface="Arial" pitchFamily="34" charset="0"/>
            <a:cs typeface="Arial" pitchFamily="34" charset="0"/>
          </a:endParaRPr>
        </a:p>
        <a:p>
          <a:pPr algn="l"/>
          <a:r>
            <a:rPr lang="fr-FR" sz="1100">
              <a:latin typeface="Arial" pitchFamily="34" charset="0"/>
              <a:cs typeface="Arial" pitchFamily="34" charset="0"/>
            </a:rPr>
            <a:t>TEL</a:t>
          </a:r>
          <a:r>
            <a:rPr lang="fr-FR" sz="1100" baseline="0">
              <a:latin typeface="Arial" pitchFamily="34" charset="0"/>
              <a:cs typeface="Arial" pitchFamily="34" charset="0"/>
            </a:rPr>
            <a:t> :</a:t>
          </a:r>
          <a:r>
            <a:rPr lang="fr-FR" sz="1100">
              <a:latin typeface="Arial" pitchFamily="34" charset="0"/>
              <a:cs typeface="Arial" pitchFamily="34" charset="0"/>
            </a:rPr>
            <a:t>  </a:t>
          </a:r>
          <a:endParaRPr lang="fr-FR" sz="1100" b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FAX</a:t>
          </a:r>
          <a:r>
            <a:rPr lang="fr-FR" sz="11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: </a:t>
          </a:r>
          <a:endParaRPr lang="fr-FR" sz="1100" b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/>
          <a:r>
            <a:rPr lang="fr-FR" sz="11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N°CC</a:t>
          </a:r>
          <a:r>
            <a:rPr lang="fr-FR" sz="11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fr-FR" sz="11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: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1</xdr:row>
      <xdr:rowOff>238125</xdr:rowOff>
    </xdr:from>
    <xdr:to>
      <xdr:col>5</xdr:col>
      <xdr:colOff>857250</xdr:colOff>
      <xdr:row>8</xdr:row>
      <xdr:rowOff>50800</xdr:rowOff>
    </xdr:to>
    <xdr:sp macro="" textlink="">
      <xdr:nvSpPr>
        <xdr:cNvPr id="2" name="Rectangle à coins arrondis 3">
          <a:extLst>
            <a:ext uri="{FF2B5EF4-FFF2-40B4-BE49-F238E27FC236}">
              <a16:creationId xmlns:a16="http://schemas.microsoft.com/office/drawing/2014/main" id="{849287B2-78C4-4071-9D18-38BE483C33D7}"/>
            </a:ext>
          </a:extLst>
        </xdr:cNvPr>
        <xdr:cNvSpPr/>
      </xdr:nvSpPr>
      <xdr:spPr>
        <a:xfrm>
          <a:off x="4724400" y="485775"/>
          <a:ext cx="2695575" cy="14986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 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="1" baseline="0">
              <a:latin typeface="Garamond" pitchFamily="18" charset="0"/>
              <a:cs typeface="Arial" pitchFamily="34" charset="0"/>
            </a:rPr>
            <a:t>FOND D'ENTRETIEN ROUTIER</a:t>
          </a:r>
        </a:p>
        <a:p>
          <a:pPr algn="l"/>
          <a:endParaRPr lang="fr-FR" sz="1200" b="1" baseline="0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  Côte d'Ivoire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 (225) 27 20 31 13 05</a:t>
          </a:r>
        </a:p>
        <a:p>
          <a:pPr algn="l"/>
          <a:r>
            <a:rPr lang="fr-FR" sz="1200" b="0">
              <a:solidFill>
                <a:sysClr val="windowText" lastClr="000000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ysClr val="windowText" lastClr="000000"/>
              </a:solidFill>
              <a:latin typeface="Garamond" pitchFamily="18" charset="0"/>
              <a:ea typeface="+mn-ea"/>
              <a:cs typeface="Arial" pitchFamily="34" charset="0"/>
            </a:rPr>
            <a:t> :  (225)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: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1</xdr:row>
      <xdr:rowOff>238125</xdr:rowOff>
    </xdr:from>
    <xdr:to>
      <xdr:col>5</xdr:col>
      <xdr:colOff>857250</xdr:colOff>
      <xdr:row>8</xdr:row>
      <xdr:rowOff>50800</xdr:rowOff>
    </xdr:to>
    <xdr:sp macro="" textlink="">
      <xdr:nvSpPr>
        <xdr:cNvPr id="2" name="Rectangle à coins arrondis 3">
          <a:extLst>
            <a:ext uri="{FF2B5EF4-FFF2-40B4-BE49-F238E27FC236}">
              <a16:creationId xmlns:a16="http://schemas.microsoft.com/office/drawing/2014/main" id="{1A3E211C-C624-44EE-A61D-8677C27BAC87}"/>
            </a:ext>
          </a:extLst>
        </xdr:cNvPr>
        <xdr:cNvSpPr/>
      </xdr:nvSpPr>
      <xdr:spPr>
        <a:xfrm>
          <a:off x="4724400" y="485775"/>
          <a:ext cx="2695575" cy="14986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 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="1" baseline="0">
              <a:latin typeface="Garamond" pitchFamily="18" charset="0"/>
              <a:cs typeface="Arial" pitchFamily="34" charset="0"/>
            </a:rPr>
            <a:t>FOND D'ENTRETIEN ROUTIER</a:t>
          </a:r>
        </a:p>
        <a:p>
          <a:pPr algn="l"/>
          <a:endParaRPr lang="fr-FR" sz="1200" b="1" baseline="0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  Côte d'Ivoire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 (225) 27 20 31 13 05</a:t>
          </a:r>
        </a:p>
        <a:p>
          <a:pPr algn="l"/>
          <a:r>
            <a:rPr lang="fr-FR" sz="1200" b="0">
              <a:solidFill>
                <a:sysClr val="windowText" lastClr="000000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ysClr val="windowText" lastClr="000000"/>
              </a:solidFill>
              <a:latin typeface="Garamond" pitchFamily="18" charset="0"/>
              <a:ea typeface="+mn-ea"/>
              <a:cs typeface="Arial" pitchFamily="34" charset="0"/>
            </a:rPr>
            <a:t> :  (225)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: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4</xdr:row>
      <xdr:rowOff>238125</xdr:rowOff>
    </xdr:from>
    <xdr:to>
      <xdr:col>5</xdr:col>
      <xdr:colOff>857250</xdr:colOff>
      <xdr:row>11</xdr:row>
      <xdr:rowOff>50800</xdr:rowOff>
    </xdr:to>
    <xdr:sp macro="" textlink="">
      <xdr:nvSpPr>
        <xdr:cNvPr id="2" name="Rectangle à coins arrondis 3">
          <a:extLst>
            <a:ext uri="{FF2B5EF4-FFF2-40B4-BE49-F238E27FC236}">
              <a16:creationId xmlns:a16="http://schemas.microsoft.com/office/drawing/2014/main" id="{43859579-7160-4FE0-9427-59F8A331CEBE}"/>
            </a:ext>
          </a:extLst>
        </xdr:cNvPr>
        <xdr:cNvSpPr/>
      </xdr:nvSpPr>
      <xdr:spPr>
        <a:xfrm>
          <a:off x="4724400" y="485775"/>
          <a:ext cx="2695575" cy="14986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 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="1" baseline="0">
              <a:latin typeface="Garamond" pitchFamily="18" charset="0"/>
              <a:cs typeface="Arial" pitchFamily="34" charset="0"/>
            </a:rPr>
            <a:t>FOND D'ENTRETIEN ROUTIER</a:t>
          </a:r>
        </a:p>
        <a:p>
          <a:pPr algn="l"/>
          <a:endParaRPr lang="fr-FR" sz="1200" b="1" baseline="0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  Côte d'Ivoire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 (225) 27 20 31 13 05</a:t>
          </a:r>
        </a:p>
        <a:p>
          <a:pPr algn="l"/>
          <a:r>
            <a:rPr lang="fr-FR" sz="1200" b="0">
              <a:solidFill>
                <a:sysClr val="windowText" lastClr="000000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ysClr val="windowText" lastClr="000000"/>
              </a:solidFill>
              <a:latin typeface="Garamond" pitchFamily="18" charset="0"/>
              <a:ea typeface="+mn-ea"/>
              <a:cs typeface="Arial" pitchFamily="34" charset="0"/>
            </a:rPr>
            <a:t> :  (225)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: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</xdr:row>
      <xdr:rowOff>9526</xdr:rowOff>
    </xdr:from>
    <xdr:to>
      <xdr:col>5</xdr:col>
      <xdr:colOff>981075</xdr:colOff>
      <xdr:row>9</xdr:row>
      <xdr:rowOff>123826</xdr:rowOff>
    </xdr:to>
    <xdr:sp macro="" textlink="">
      <xdr:nvSpPr>
        <xdr:cNvPr id="3" name="Rectangle à coins arrondis 3">
          <a:extLst>
            <a:ext uri="{FF2B5EF4-FFF2-40B4-BE49-F238E27FC236}">
              <a16:creationId xmlns:a16="http://schemas.microsoft.com/office/drawing/2014/main" id="{9831A821-7DA1-42BF-B467-431C27E20678}"/>
            </a:ext>
          </a:extLst>
        </xdr:cNvPr>
        <xdr:cNvSpPr/>
      </xdr:nvSpPr>
      <xdr:spPr>
        <a:xfrm>
          <a:off x="5257800" y="752476"/>
          <a:ext cx="2695575" cy="15049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 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="1" baseline="0">
              <a:latin typeface="Garamond" pitchFamily="18" charset="0"/>
              <a:cs typeface="Arial" pitchFamily="34" charset="0"/>
            </a:rPr>
            <a:t>FOND D'ENTRETIEN ROUTIER</a:t>
          </a:r>
        </a:p>
        <a:p>
          <a:pPr algn="l"/>
          <a:endParaRPr lang="fr-FR" sz="1200" b="1" baseline="0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  Côte d'Ivoire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 (225) 27 20 31 13 05</a:t>
          </a:r>
        </a:p>
        <a:p>
          <a:pPr algn="l"/>
          <a:r>
            <a:rPr lang="fr-FR" sz="1200" b="0">
              <a:solidFill>
                <a:sysClr val="windowText" lastClr="000000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ysClr val="windowText" lastClr="000000"/>
              </a:solidFill>
              <a:latin typeface="Garamond" pitchFamily="18" charset="0"/>
              <a:ea typeface="+mn-ea"/>
              <a:cs typeface="Arial" pitchFamily="34" charset="0"/>
            </a:rPr>
            <a:t> :  (225)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: P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297997</xdr:colOff>
      <xdr:row>6</xdr:row>
      <xdr:rowOff>70759</xdr:rowOff>
    </xdr:from>
    <xdr:to>
      <xdr:col>5</xdr:col>
      <xdr:colOff>1748519</xdr:colOff>
      <xdr:row>13</xdr:row>
      <xdr:rowOff>31296</xdr:rowOff>
    </xdr:to>
    <xdr:sp macro="" textlink="">
      <xdr:nvSpPr>
        <xdr:cNvPr id="2" name="Rectangle à coins arrondis 3">
          <a:extLst>
            <a:ext uri="{FF2B5EF4-FFF2-40B4-BE49-F238E27FC236}">
              <a16:creationId xmlns:a16="http://schemas.microsoft.com/office/drawing/2014/main" id="{07B2D2AC-9351-407C-9890-3A8B7022CF82}"/>
            </a:ext>
          </a:extLst>
        </xdr:cNvPr>
        <xdr:cNvSpPr/>
      </xdr:nvSpPr>
      <xdr:spPr>
        <a:xfrm>
          <a:off x="6736897" y="1594759"/>
          <a:ext cx="3488872" cy="1627412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400">
              <a:latin typeface="Garamond" pitchFamily="18" charset="0"/>
              <a:cs typeface="Arial" pitchFamily="34" charset="0"/>
            </a:rPr>
            <a:t>CLIENT :</a:t>
          </a:r>
          <a:r>
            <a:rPr lang="fr-FR" sz="1400" baseline="0">
              <a:latin typeface="Garamond" pitchFamily="18" charset="0"/>
              <a:cs typeface="Arial" pitchFamily="34" charset="0"/>
            </a:rPr>
            <a:t> </a:t>
          </a:r>
          <a:r>
            <a:rPr lang="fr-FR" sz="1400" b="1" baseline="0">
              <a:latin typeface="Garamond" pitchFamily="18" charset="0"/>
              <a:cs typeface="Arial" pitchFamily="34" charset="0"/>
            </a:rPr>
            <a:t>FOND D'ENTRETIEN ROUTIER</a:t>
          </a:r>
        </a:p>
        <a:p>
          <a:pPr algn="l"/>
          <a:endParaRPr lang="fr-FR" sz="600" b="1" baseline="0">
            <a:latin typeface="Garamond" pitchFamily="18" charset="0"/>
            <a:cs typeface="Arial" pitchFamily="34" charset="0"/>
          </a:endParaRPr>
        </a:p>
        <a:p>
          <a:pPr algn="l"/>
          <a:r>
            <a:rPr lang="fr-FR" sz="14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ADRESSE:</a:t>
          </a:r>
          <a:r>
            <a:rPr lang="fr-FR" sz="14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  Côte d'Ivoire</a:t>
          </a:r>
        </a:p>
        <a:p>
          <a:pPr algn="l"/>
          <a:r>
            <a:rPr lang="fr-FR" sz="14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TEL</a:t>
          </a:r>
          <a:r>
            <a:rPr lang="fr-FR" sz="14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</a:t>
          </a:r>
          <a:r>
            <a:rPr lang="fr-FR" sz="14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 (225) 27 20 31 13 05</a:t>
          </a:r>
        </a:p>
        <a:p>
          <a:pPr algn="l"/>
          <a:r>
            <a:rPr lang="fr-FR" sz="1400" b="0">
              <a:solidFill>
                <a:sysClr val="windowText" lastClr="000000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400" b="0" baseline="0">
              <a:solidFill>
                <a:sysClr val="windowText" lastClr="000000"/>
              </a:solidFill>
              <a:latin typeface="Garamond" pitchFamily="18" charset="0"/>
              <a:ea typeface="+mn-ea"/>
              <a:cs typeface="Arial" pitchFamily="34" charset="0"/>
            </a:rPr>
            <a:t> :  (225) </a:t>
          </a:r>
        </a:p>
        <a:p>
          <a:pPr algn="l"/>
          <a:r>
            <a:rPr lang="fr-FR" sz="14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4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</a:t>
          </a:r>
          <a:r>
            <a:rPr lang="fr-FR" sz="14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: P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.tech/AppData/Local/Microsoft/Windows/INetCache/Content.Outlook/ORXWHLCS/COUT%20PVECI_2020_2101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SSIER%20BUDGET%202022/BUDGET%20CREPMF/LOT%201/DOCS/CREPMF%20BUDGET%20LOT%201%20-%20SUI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Facturation mensuelle"/>
      <sheetName val="01"/>
      <sheetName val="01 ACHAT"/>
      <sheetName val="03"/>
      <sheetName val="04"/>
      <sheetName val="05"/>
      <sheetName val="02 MO"/>
      <sheetName val="07"/>
      <sheetName val="08"/>
      <sheetName val="09"/>
      <sheetName val="03 ADMINISTRATION"/>
      <sheetName val="04 DEPLACEMENT"/>
      <sheetName val="04 HEBERGEMENT"/>
      <sheetName val="RECAP"/>
      <sheetName val="01 (2)"/>
      <sheetName val="COUT PVECI_2020_2101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P"/>
      <sheetName val="01"/>
      <sheetName val="01 ACHAT"/>
      <sheetName val="02 SOUS TRAITANCE"/>
      <sheetName val="03 CONSOMMABLE"/>
      <sheetName val="04 TRANSPORT "/>
      <sheetName val="05 SUPERVISION"/>
      <sheetName val="06 MAIN D'OEUVRE"/>
      <sheetName val="08"/>
      <sheetName val="09"/>
      <sheetName val="03 DEPLACEMENT"/>
      <sheetName val="04 HEBERGEMENT"/>
      <sheetName val="04 ADMINISTRATION"/>
      <sheetName val="051"/>
      <sheetName val="01 (2)"/>
      <sheetName val="CREPMF BUDGET LOT 1 - SUI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0000000}" name="Tableau15" displayName="Tableau15" ref="B8:F18" headerRowDxfId="884" dataDxfId="883" totalsRowDxfId="882">
  <autoFilter ref="B8:F18" xr:uid="{00000000-0009-0000-0100-00000B000000}"/>
  <tableColumns count="5">
    <tableColumn id="1" xr3:uid="{00000000-0010-0000-0000-000001000000}" name="LIBELLE" totalsRowLabel="TOTAL" dataDxfId="881" totalsRowDxfId="880"/>
    <tableColumn id="2" xr3:uid="{00000000-0010-0000-0000-000002000000}" name="MONTANT " totalsRowFunction="sum" dataDxfId="879" totalsRowDxfId="878" dataCellStyle="Milliers">
      <calculatedColumnFormula>+[1]!Achat[[#Totals],[JAN]]</calculatedColumnFormula>
    </tableColumn>
    <tableColumn id="3" xr3:uid="{00000000-0010-0000-0000-000003000000}" name="REALISATIONS" totalsRowFunction="sum" dataDxfId="877" totalsRowDxfId="876" dataCellStyle="Milliers">
      <calculatedColumnFormula>+SUM([2]!Achat[[#Totals],[J01]:[J24]])</calculatedColumnFormula>
    </tableColumn>
    <tableColumn id="4" xr3:uid="{00000000-0010-0000-0000-000004000000}" name="ECART" totalsRowFunction="sum" dataDxfId="875" totalsRowDxfId="874" dataCellStyle="Milliers">
      <calculatedColumnFormula>+Tableau15[[#This Row],[MONTANT ]]-Tableau15[[#This Row],[REALISATIONS]]</calculatedColumnFormula>
    </tableColumn>
    <tableColumn id="5" xr3:uid="{00000000-0010-0000-0000-000005000000}" name="%" totalsRowFunction="custom" dataDxfId="873" totalsRowDxfId="872" dataCellStyle="Pourcentage">
      <calculatedColumnFormula>IF(+Tableau15[[#This Row],[REALISATIONS]]=0,"-",Tableau15[[#This Row],[REALISATIONS]]/Tableau15[[#This Row],[MONTANT ]])</calculatedColumnFormula>
      <totalsRowFormula>Tableau15[[#Totals],[REALISATIONS]]/Tableau15[[#Totals],[MONTANT ]]</totalsRowFormula>
    </tableColumn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Prestation" displayName="Prestation" ref="A2:AB4" totalsRowCount="1" headerRowDxfId="410" dataDxfId="409">
  <autoFilter ref="A2:AB3" xr:uid="{00000000-0009-0000-0100-000009000000}"/>
  <tableColumns count="28">
    <tableColumn id="21" xr3:uid="{00000000-0010-0000-0900-000015000000}" name="N°" dataDxfId="408" totalsRowDxfId="407"/>
    <tableColumn id="1" xr3:uid="{00000000-0010-0000-0900-000001000000}" name="Description" dataDxfId="406"/>
    <tableColumn id="2" xr3:uid="{00000000-0010-0000-0900-000002000000}" name="Montant par mois" dataDxfId="405" totalsRowDxfId="404" dataCellStyle="Milliers"/>
    <tableColumn id="22" xr3:uid="{00000000-0010-0000-0900-000016000000}" name="Commentaire" totalsRowLabel="TOTAL (FCFA) / mois - HT" dataDxfId="403" totalsRowDxfId="402" dataCellStyle="Milliers"/>
    <tableColumn id="3" xr3:uid="{00000000-0010-0000-0900-000003000000}" name="M01" totalsRowFunction="custom" dataDxfId="401" totalsRowDxfId="400" dataCellStyle="Milliers">
      <totalsRowFormula>IFERROR(SUMPRODUCT(INDIRECT("Prestation[Montant par mois]"),Prestation[M01]),0)</totalsRowFormula>
    </tableColumn>
    <tableColumn id="4" xr3:uid="{00000000-0010-0000-0900-000004000000}" name="M02" totalsRowFunction="custom" dataDxfId="399" totalsRowDxfId="398" dataCellStyle="Milliers">
      <totalsRowFormula>IFERROR(SUMPRODUCT(INDIRECT("Prestation[Montant par mois]"),Prestation[M02]),0)</totalsRowFormula>
    </tableColumn>
    <tableColumn id="5" xr3:uid="{00000000-0010-0000-0900-000005000000}" name="M03" totalsRowFunction="custom" dataDxfId="397" totalsRowDxfId="396" dataCellStyle="Milliers">
      <totalsRowFormula>IFERROR(SUMPRODUCT(INDIRECT("Prestation[Montant par mois]"),Prestation[M03]),0)</totalsRowFormula>
    </tableColumn>
    <tableColumn id="6" xr3:uid="{00000000-0010-0000-0900-000006000000}" name="M04" totalsRowFunction="custom" dataDxfId="395" totalsRowDxfId="394" dataCellStyle="Milliers">
      <totalsRowFormula>IFERROR(SUMPRODUCT(INDIRECT("Prestation[Montant par mois]"),Prestation[M04]),0)</totalsRowFormula>
    </tableColumn>
    <tableColumn id="7" xr3:uid="{00000000-0010-0000-0900-000007000000}" name="M05" totalsRowFunction="custom" dataDxfId="393" totalsRowDxfId="392" dataCellStyle="Milliers">
      <totalsRowFormula>IFERROR(SUMPRODUCT(INDIRECT("Prestation[Montant par mois]"),Prestation[M05]),0)</totalsRowFormula>
    </tableColumn>
    <tableColumn id="8" xr3:uid="{00000000-0010-0000-0900-000008000000}" name="M06" totalsRowFunction="custom" dataDxfId="391" totalsRowDxfId="390" dataCellStyle="Milliers">
      <totalsRowFormula>IFERROR(SUMPRODUCT(INDIRECT("Prestation[Montant par mois]"),Prestation[M06]),0)</totalsRowFormula>
    </tableColumn>
    <tableColumn id="9" xr3:uid="{00000000-0010-0000-0900-000009000000}" name="M07" totalsRowFunction="custom" dataDxfId="389" totalsRowDxfId="388" dataCellStyle="Milliers">
      <totalsRowFormula>IFERROR(SUMPRODUCT(INDIRECT("Prestation[Montant par mois]"),Prestation[M07]),0)</totalsRowFormula>
    </tableColumn>
    <tableColumn id="10" xr3:uid="{00000000-0010-0000-0900-00000A000000}" name="M08" totalsRowFunction="custom" dataDxfId="387" totalsRowDxfId="386" dataCellStyle="Milliers">
      <totalsRowFormula>IFERROR(SUMPRODUCT(INDIRECT("Prestation[Montant par mois]"),Prestation[M08]),0)</totalsRowFormula>
    </tableColumn>
    <tableColumn id="11" xr3:uid="{00000000-0010-0000-0900-00000B000000}" name="M09" totalsRowFunction="custom" dataDxfId="385" totalsRowDxfId="384" dataCellStyle="Milliers">
      <totalsRowFormula>IFERROR(SUMPRODUCT(INDIRECT("Prestation[Montant par mois]"),Prestation[M09]),0)</totalsRowFormula>
    </tableColumn>
    <tableColumn id="12" xr3:uid="{00000000-0010-0000-0900-00000C000000}" name="M10" totalsRowFunction="custom" dataDxfId="383" totalsRowDxfId="382" dataCellStyle="Milliers">
      <totalsRowFormula>IFERROR(SUMPRODUCT(INDIRECT("Prestation[Montant par mois]"),Prestation[M10]),0)</totalsRowFormula>
    </tableColumn>
    <tableColumn id="13" xr3:uid="{00000000-0010-0000-0900-00000D000000}" name="M11" totalsRowFunction="custom" dataDxfId="381" totalsRowDxfId="380" dataCellStyle="Milliers">
      <totalsRowFormula>IFERROR(SUMPRODUCT(INDIRECT("Prestation[Montant par mois]"),Prestation[M11]),0)</totalsRowFormula>
    </tableColumn>
    <tableColumn id="14" xr3:uid="{00000000-0010-0000-0900-00000E000000}" name="M12" totalsRowFunction="custom" dataDxfId="379" totalsRowDxfId="378" dataCellStyle="Milliers">
      <totalsRowFormula>IFERROR(SUMPRODUCT(INDIRECT("Prestation[Montant par mois]"),Prestation[M12]),0)</totalsRowFormula>
    </tableColumn>
    <tableColumn id="15" xr3:uid="{00000000-0010-0000-0900-00000F000000}" name="M13" totalsRowFunction="custom" dataDxfId="377" totalsRowDxfId="376" dataCellStyle="Milliers">
      <totalsRowFormula>IFERROR(SUMPRODUCT(INDIRECT("Prestation[Montant par mois]"),Prestation[M13]),0)</totalsRowFormula>
    </tableColumn>
    <tableColumn id="16" xr3:uid="{00000000-0010-0000-0900-000010000000}" name="M14" totalsRowFunction="custom" dataDxfId="375" totalsRowDxfId="374" dataCellStyle="Milliers">
      <totalsRowFormula>IFERROR(SUMPRODUCT(INDIRECT("Prestation[Montant par mois]"),Prestation[M14]),0)</totalsRowFormula>
    </tableColumn>
    <tableColumn id="17" xr3:uid="{00000000-0010-0000-0900-000011000000}" name="M15" totalsRowFunction="custom" dataDxfId="373" totalsRowDxfId="372" dataCellStyle="Milliers">
      <totalsRowFormula>IFERROR(SUMPRODUCT(INDIRECT("Prestation[Montant par mois]"),Prestation[M15]),0)</totalsRowFormula>
    </tableColumn>
    <tableColumn id="18" xr3:uid="{00000000-0010-0000-0900-000012000000}" name="M16" totalsRowFunction="custom" dataDxfId="371" totalsRowDxfId="370" dataCellStyle="Milliers">
      <totalsRowFormula>IFERROR(SUMPRODUCT(INDIRECT("Prestation[Montant par mois]"),Prestation[M16]),0)</totalsRowFormula>
    </tableColumn>
    <tableColumn id="19" xr3:uid="{00000000-0010-0000-0900-000013000000}" name="M17" totalsRowFunction="custom" dataDxfId="369" totalsRowDxfId="368" dataCellStyle="Milliers">
      <totalsRowFormula>IFERROR(SUMPRODUCT(INDIRECT("Prestation[Montant par mois]"),Prestation[M17]),0)</totalsRowFormula>
    </tableColumn>
    <tableColumn id="20" xr3:uid="{00000000-0010-0000-0900-000014000000}" name="M18" totalsRowFunction="custom" dataDxfId="367" totalsRowDxfId="366" dataCellStyle="Milliers">
      <totalsRowFormula>IFERROR(SUMPRODUCT(INDIRECT("Prestation[Montant par mois]"),Prestation[M18]),0)</totalsRowFormula>
    </tableColumn>
    <tableColumn id="23" xr3:uid="{00000000-0010-0000-0900-000017000000}" name="M19" totalsRowFunction="custom" dataDxfId="365" totalsRowDxfId="364" dataCellStyle="Milliers">
      <totalsRowFormula>IFERROR(SUMPRODUCT(INDIRECT("Prestation[Montant par mois]"),Prestation[M19]),0)</totalsRowFormula>
    </tableColumn>
    <tableColumn id="24" xr3:uid="{00000000-0010-0000-0900-000018000000}" name="M20" totalsRowFunction="custom" dataDxfId="363" totalsRowDxfId="362" dataCellStyle="Milliers">
      <totalsRowFormula>IFERROR(SUMPRODUCT(INDIRECT("Prestation[Montant par mois]"),Prestation[M20]),0)</totalsRowFormula>
    </tableColumn>
    <tableColumn id="25" xr3:uid="{00000000-0010-0000-0900-000019000000}" name="M21" totalsRowFunction="custom" dataDxfId="361" totalsRowDxfId="360" dataCellStyle="Milliers">
      <totalsRowFormula>IFERROR(SUMPRODUCT(INDIRECT("Prestation[Montant par mois]"),Prestation[M21]),0)</totalsRowFormula>
    </tableColumn>
    <tableColumn id="26" xr3:uid="{00000000-0010-0000-0900-00001A000000}" name="M22" totalsRowFunction="custom" dataDxfId="359" totalsRowDxfId="358" dataCellStyle="Milliers">
      <totalsRowFormula>IFERROR(SUMPRODUCT(INDIRECT("Prestation[Montant par mois]"),Prestation[M22]),0)</totalsRowFormula>
    </tableColumn>
    <tableColumn id="27" xr3:uid="{00000000-0010-0000-0900-00001B000000}" name="M23" totalsRowFunction="custom" dataDxfId="357" totalsRowDxfId="356" dataCellStyle="Milliers">
      <totalsRowFormula>IFERROR(SUMPRODUCT(INDIRECT("Prestation[Montant par mois]"),Prestation[M23]),0)</totalsRowFormula>
    </tableColumn>
    <tableColumn id="28" xr3:uid="{00000000-0010-0000-0900-00001C000000}" name="M24" totalsRowFunction="custom" dataDxfId="355" totalsRowDxfId="354" dataCellStyle="Milliers">
      <totalsRowFormula>IFERROR(SUMPRODUCT(INDIRECT("Prestation[Montant par mois]"),Prestation[M24]),0)</totalsRow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Location" displayName="Location" ref="A2:AC4" totalsRowCount="1" headerRowDxfId="353" dataDxfId="352">
  <autoFilter ref="A2:AC3" xr:uid="{00000000-0009-0000-0100-00000A000000}"/>
  <tableColumns count="29">
    <tableColumn id="21" xr3:uid="{00000000-0010-0000-0A00-000015000000}" name="N°" dataDxfId="351" totalsRowDxfId="350"/>
    <tableColumn id="1" xr3:uid="{00000000-0010-0000-0A00-000001000000}" name="Description" dataDxfId="349"/>
    <tableColumn id="30" xr3:uid="{00000000-0010-0000-0A00-00001E000000}" name="Qté" dataDxfId="348" dataCellStyle="Milliers"/>
    <tableColumn id="2" xr3:uid="{00000000-0010-0000-0A00-000002000000}" name="Montant unitaire_x000a_ par Jour" dataDxfId="347" totalsRowDxfId="346" dataCellStyle="Milliers"/>
    <tableColumn id="22" xr3:uid="{00000000-0010-0000-0A00-000016000000}" name="Commentaire" totalsRowLabel="TOTAL (FCFA) / mois - HT" dataDxfId="345" totalsRowDxfId="344" dataCellStyle="Milliers"/>
    <tableColumn id="3" xr3:uid="{00000000-0010-0000-0A00-000003000000}" name="M01" totalsRowFunction="custom" dataDxfId="343" totalsRowDxfId="342" dataCellStyle="Milliers">
      <totalsRowFormula>IFERROR(SUMPRODUCT(INDIRECT("Location[Qté]"),INDIRECT("Location[Montant unitaire
 par Jour]"),Location[M01]),0)</totalsRowFormula>
    </tableColumn>
    <tableColumn id="4" xr3:uid="{00000000-0010-0000-0A00-000004000000}" name="M02" totalsRowFunction="custom" dataDxfId="341" totalsRowDxfId="340" dataCellStyle="Milliers">
      <totalsRowFormula>IFERROR(SUMPRODUCT(INDIRECT("Location[Qté]"),INDIRECT("Location[Montant unitaire
 par Jour]"),Location[M02]),0)</totalsRowFormula>
    </tableColumn>
    <tableColumn id="5" xr3:uid="{00000000-0010-0000-0A00-000005000000}" name="M03" totalsRowFunction="custom" dataDxfId="339" totalsRowDxfId="338" dataCellStyle="Milliers">
      <totalsRowFormula>IFERROR(SUMPRODUCT(INDIRECT("Location[Qté]"),INDIRECT("Location[Montant unitaire
 par Jour]"),Location[M03]),0)</totalsRowFormula>
    </tableColumn>
    <tableColumn id="6" xr3:uid="{00000000-0010-0000-0A00-000006000000}" name="M04" totalsRowFunction="custom" dataDxfId="337" totalsRowDxfId="336" dataCellStyle="Milliers">
      <totalsRowFormula>IFERROR(SUMPRODUCT(INDIRECT("Location[Qté]"),INDIRECT("Location[Montant unitaire
 par Jour]"),Location[M04]),0)</totalsRowFormula>
    </tableColumn>
    <tableColumn id="7" xr3:uid="{00000000-0010-0000-0A00-000007000000}" name="M05" totalsRowFunction="custom" dataDxfId="335" totalsRowDxfId="334" dataCellStyle="Milliers">
      <totalsRowFormula>IFERROR(SUMPRODUCT(INDIRECT("Location[Qté]"),INDIRECT("Location[Montant unitaire
 par Jour]"),Location[M05]),0)</totalsRowFormula>
    </tableColumn>
    <tableColumn id="8" xr3:uid="{00000000-0010-0000-0A00-000008000000}" name="M06" totalsRowFunction="custom" dataDxfId="333" totalsRowDxfId="332" dataCellStyle="Milliers">
      <totalsRowFormula>IFERROR(SUMPRODUCT(INDIRECT("Location[Qté]"),INDIRECT("Location[Montant unitaire
 par Jour]"),Location[M06]),0)</totalsRowFormula>
    </tableColumn>
    <tableColumn id="9" xr3:uid="{00000000-0010-0000-0A00-000009000000}" name="M07" totalsRowFunction="custom" dataDxfId="331" totalsRowDxfId="330" dataCellStyle="Milliers">
      <totalsRowFormula>IFERROR(SUMPRODUCT(INDIRECT("Location[Qté]"),INDIRECT("Location[Montant unitaire
 par Jour]"),Location[M07]),0)</totalsRowFormula>
    </tableColumn>
    <tableColumn id="10" xr3:uid="{00000000-0010-0000-0A00-00000A000000}" name="M08" totalsRowFunction="custom" dataDxfId="329" totalsRowDxfId="328" dataCellStyle="Milliers">
      <totalsRowFormula>IFERROR(SUMPRODUCT(INDIRECT("Location[Qté]"),INDIRECT("Location[Montant unitaire
 par Jour]"),Location[M08]),0)</totalsRowFormula>
    </tableColumn>
    <tableColumn id="11" xr3:uid="{00000000-0010-0000-0A00-00000B000000}" name="M09" totalsRowFunction="custom" dataDxfId="327" totalsRowDxfId="326" dataCellStyle="Milliers">
      <totalsRowFormula>IFERROR(SUMPRODUCT(INDIRECT("Location[Qté]"),INDIRECT("Location[Montant unitaire
 par Jour]"),Location[M09]),0)</totalsRowFormula>
    </tableColumn>
    <tableColumn id="12" xr3:uid="{00000000-0010-0000-0A00-00000C000000}" name="M10" totalsRowFunction="custom" dataDxfId="325" totalsRowDxfId="324" dataCellStyle="Milliers">
      <totalsRowFormula>IFERROR(SUMPRODUCT(INDIRECT("Location[Qté]"),INDIRECT("Location[Montant unitaire
 par Jour]"),Location[M10]),0)</totalsRowFormula>
    </tableColumn>
    <tableColumn id="13" xr3:uid="{00000000-0010-0000-0A00-00000D000000}" name="M11" totalsRowFunction="custom" dataDxfId="323" totalsRowDxfId="322" dataCellStyle="Milliers">
      <totalsRowFormula>IFERROR(SUMPRODUCT(INDIRECT("Location[Qté]"),INDIRECT("Location[Montant unitaire
 par Jour]"),Location[M11]),0)</totalsRowFormula>
    </tableColumn>
    <tableColumn id="14" xr3:uid="{00000000-0010-0000-0A00-00000E000000}" name="M12" totalsRowFunction="custom" dataDxfId="321" totalsRowDxfId="320" dataCellStyle="Milliers">
      <totalsRowFormula>IFERROR(SUMPRODUCT(INDIRECT("Location[Qté]"),INDIRECT("Location[Montant unitaire
 par Jour]"),Location[M12]),0)</totalsRowFormula>
    </tableColumn>
    <tableColumn id="15" xr3:uid="{00000000-0010-0000-0A00-00000F000000}" name="M13" totalsRowFunction="custom" dataDxfId="319" totalsRowDxfId="318" dataCellStyle="Milliers">
      <totalsRowFormula>IFERROR(SUMPRODUCT(INDIRECT("Location[Qté]"),INDIRECT("Location[Montant unitaire
 par Jour]"),Location[M13]),0)</totalsRowFormula>
    </tableColumn>
    <tableColumn id="16" xr3:uid="{00000000-0010-0000-0A00-000010000000}" name="M14" totalsRowFunction="custom" dataDxfId="317" totalsRowDxfId="316" dataCellStyle="Milliers">
      <totalsRowFormula>IFERROR(SUMPRODUCT(INDIRECT("Location[Qté]"),INDIRECT("Location[Montant unitaire
 par Jour]"),Location[M14]),0)</totalsRowFormula>
    </tableColumn>
    <tableColumn id="17" xr3:uid="{00000000-0010-0000-0A00-000011000000}" name="M15" totalsRowFunction="custom" dataDxfId="315" totalsRowDxfId="314" dataCellStyle="Milliers">
      <totalsRowFormula>IFERROR(SUMPRODUCT(INDIRECT("Location[Qté]"),INDIRECT("Location[Montant unitaire
 par Jour]"),Location[M15]),0)</totalsRowFormula>
    </tableColumn>
    <tableColumn id="18" xr3:uid="{00000000-0010-0000-0A00-000012000000}" name="M16" totalsRowFunction="custom" dataDxfId="313" totalsRowDxfId="312" dataCellStyle="Milliers">
      <totalsRowFormula>IFERROR(SUMPRODUCT(INDIRECT("Location[Qté]"),INDIRECT("Location[Montant unitaire
 par Jour]"),Location[M16]),0)</totalsRowFormula>
    </tableColumn>
    <tableColumn id="19" xr3:uid="{00000000-0010-0000-0A00-000013000000}" name="M17" totalsRowFunction="custom" dataDxfId="311" totalsRowDxfId="310" dataCellStyle="Milliers">
      <totalsRowFormula>IFERROR(SUMPRODUCT(INDIRECT("Location[Qté]"),INDIRECT("Location[Montant unitaire
 par Jour]"),Location[M17]),0)</totalsRowFormula>
    </tableColumn>
    <tableColumn id="20" xr3:uid="{00000000-0010-0000-0A00-000014000000}" name="M18" totalsRowFunction="custom" dataDxfId="309" totalsRowDxfId="308" dataCellStyle="Milliers">
      <totalsRowFormula>IFERROR(SUMPRODUCT(INDIRECT("Location[Qté]"),INDIRECT("Location[Montant unitaire
 par Jour]"),Location[M18]),0)</totalsRowFormula>
    </tableColumn>
    <tableColumn id="23" xr3:uid="{00000000-0010-0000-0A00-000017000000}" name="M19" totalsRowFunction="custom" dataDxfId="307" totalsRowDxfId="306" dataCellStyle="Milliers">
      <totalsRowFormula>IFERROR(SUMPRODUCT(INDIRECT("Location[Qté]"),INDIRECT("Location[Montant unitaire
 par Jour]"),Location[M19]),0)</totalsRowFormula>
    </tableColumn>
    <tableColumn id="24" xr3:uid="{00000000-0010-0000-0A00-000018000000}" name="M20" totalsRowFunction="custom" dataDxfId="305" totalsRowDxfId="304" dataCellStyle="Milliers">
      <totalsRowFormula>IFERROR(SUMPRODUCT(INDIRECT("Location[Qté]"),INDIRECT("Location[Montant unitaire
 par Jour]"),Location[M20]),0)</totalsRowFormula>
    </tableColumn>
    <tableColumn id="25" xr3:uid="{00000000-0010-0000-0A00-000019000000}" name="M21" totalsRowFunction="custom" dataDxfId="303" totalsRowDxfId="302" dataCellStyle="Milliers">
      <totalsRowFormula>IFERROR(SUMPRODUCT(INDIRECT("Location[Qté]"),INDIRECT("Location[Montant unitaire
 par Jour]"),Location[M21]),0)</totalsRowFormula>
    </tableColumn>
    <tableColumn id="26" xr3:uid="{00000000-0010-0000-0A00-00001A000000}" name="M22" totalsRowFunction="custom" dataDxfId="301" totalsRowDxfId="300" dataCellStyle="Milliers">
      <totalsRowFormula>IFERROR(SUMPRODUCT(INDIRECT("Location[Qté]"),INDIRECT("Location[Montant unitaire
 par Jour]"),Location[M22]),0)</totalsRowFormula>
    </tableColumn>
    <tableColumn id="27" xr3:uid="{00000000-0010-0000-0A00-00001B000000}" name="M23" totalsRowFunction="custom" dataDxfId="299" totalsRowDxfId="298" dataCellStyle="Milliers">
      <totalsRowFormula>IFERROR(SUMPRODUCT(INDIRECT("Location[Qté]"),INDIRECT("Location[Montant unitaire
 par Jour]"),Location[M23]),0)</totalsRowFormula>
    </tableColumn>
    <tableColumn id="28" xr3:uid="{00000000-0010-0000-0A00-00001C000000}" name="M24" totalsRowFunction="custom" dataDxfId="297" totalsRowDxfId="296" dataCellStyle="Milliers">
      <totalsRowFormula>IFERROR(SUMPRODUCT(INDIRECT("Location[Qté]"),INDIRECT("Location[Montant unitaire
 par Jour]"),Location[M24]),0)</totalsRow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Frais_de_déplacement" displayName="Frais_de_déplacement" ref="A2:AC6" totalsRowCount="1" headerRowDxfId="295">
  <autoFilter ref="A2:AC5" xr:uid="{00000000-0009-0000-0100-00000C000000}"/>
  <tableColumns count="29">
    <tableColumn id="1" xr3:uid="{00000000-0010-0000-0B00-000001000000}" name="N°" dataDxfId="294"/>
    <tableColumn id="2" xr3:uid="{00000000-0010-0000-0B00-000002000000}" name="Description" dataDxfId="293"/>
    <tableColumn id="31" xr3:uid="{00000000-0010-0000-0B00-00001F000000}" name="Unité" dataDxfId="292"/>
    <tableColumn id="3" xr3:uid="{00000000-0010-0000-0B00-000003000000}" name="Montant" dataDxfId="291" totalsRowDxfId="290" dataCellStyle="Milliers"/>
    <tableColumn id="24" xr3:uid="{00000000-0010-0000-0B00-000018000000}" name="Commentaire" totalsRowLabel="TOTAL (FCFA) / mois - HT" dataDxfId="289" totalsRowDxfId="288" dataCellStyle="Milliers"/>
    <tableColumn id="4" xr3:uid="{00000000-0010-0000-0B00-000004000000}" name="M01" totalsRowFunction="custom" dataDxfId="287" totalsRowDxfId="286" dataCellStyle="Pourcentage">
      <totalsRowFormula>IFERROR(SUMPRODUCT(INDIRECT("Frais_de_déplacement[Montant]"),Frais_de_déplacement[M01]),0)</totalsRowFormula>
    </tableColumn>
    <tableColumn id="5" xr3:uid="{00000000-0010-0000-0B00-000005000000}" name="M02" totalsRowFunction="custom" dataDxfId="285" totalsRowDxfId="284" dataCellStyle="Pourcentage">
      <totalsRowFormula>IFERROR(SUMPRODUCT(INDIRECT("Frais_de_déplacement[Montant]"),Frais_de_déplacement[M02]),0)</totalsRowFormula>
    </tableColumn>
    <tableColumn id="6" xr3:uid="{00000000-0010-0000-0B00-000006000000}" name="M03" totalsRowFunction="custom" dataDxfId="283" totalsRowDxfId="282" dataCellStyle="Pourcentage">
      <totalsRowFormula>IFERROR(SUMPRODUCT(INDIRECT("Frais_de_déplacement[Montant]"),Frais_de_déplacement[M03]),0)</totalsRowFormula>
    </tableColumn>
    <tableColumn id="7" xr3:uid="{00000000-0010-0000-0B00-000007000000}" name="M04" totalsRowFunction="custom" dataDxfId="281" totalsRowDxfId="280" dataCellStyle="Pourcentage">
      <totalsRowFormula>IFERROR(SUMPRODUCT(INDIRECT("Frais_de_déplacement[Montant]"),Frais_de_déplacement[M04]),0)</totalsRowFormula>
    </tableColumn>
    <tableColumn id="8" xr3:uid="{00000000-0010-0000-0B00-000008000000}" name="M05" totalsRowFunction="custom" dataDxfId="279" totalsRowDxfId="278" dataCellStyle="Pourcentage">
      <totalsRowFormula>IFERROR(SUMPRODUCT(INDIRECT("Frais_de_déplacement[Montant]"),Frais_de_déplacement[M05]),0)</totalsRowFormula>
    </tableColumn>
    <tableColumn id="9" xr3:uid="{00000000-0010-0000-0B00-000009000000}" name="M06" totalsRowFunction="custom" dataDxfId="277" totalsRowDxfId="276" dataCellStyle="Pourcentage">
      <totalsRowFormula>IFERROR(SUMPRODUCT(INDIRECT("Frais_de_déplacement[Montant]"),Frais_de_déplacement[M06]),0)</totalsRowFormula>
    </tableColumn>
    <tableColumn id="10" xr3:uid="{00000000-0010-0000-0B00-00000A000000}" name="M07" totalsRowFunction="custom" dataDxfId="275" totalsRowDxfId="274" dataCellStyle="Pourcentage">
      <totalsRowFormula>IFERROR(SUMPRODUCT(INDIRECT("Frais_de_déplacement[Montant]"),Frais_de_déplacement[M07]),0)</totalsRowFormula>
    </tableColumn>
    <tableColumn id="11" xr3:uid="{00000000-0010-0000-0B00-00000B000000}" name="M08" totalsRowFunction="custom" dataDxfId="273" totalsRowDxfId="272" dataCellStyle="Pourcentage">
      <totalsRowFormula>IFERROR(SUMPRODUCT(INDIRECT("Frais_de_déplacement[Montant]"),Frais_de_déplacement[M08]),0)</totalsRowFormula>
    </tableColumn>
    <tableColumn id="12" xr3:uid="{00000000-0010-0000-0B00-00000C000000}" name="M09" totalsRowFunction="custom" dataDxfId="271" totalsRowDxfId="270" dataCellStyle="Pourcentage">
      <totalsRowFormula>IFERROR(SUMPRODUCT(INDIRECT("Frais_de_déplacement[Montant]"),Frais_de_déplacement[M09]),0)</totalsRowFormula>
    </tableColumn>
    <tableColumn id="13" xr3:uid="{00000000-0010-0000-0B00-00000D000000}" name="M10" totalsRowFunction="custom" dataDxfId="269" totalsRowDxfId="268" dataCellStyle="Pourcentage">
      <totalsRowFormula>IFERROR(SUMPRODUCT(INDIRECT("Frais_de_déplacement[Montant]"),Frais_de_déplacement[M10]),0)</totalsRowFormula>
    </tableColumn>
    <tableColumn id="14" xr3:uid="{00000000-0010-0000-0B00-00000E000000}" name="M11" totalsRowFunction="custom" dataDxfId="267" totalsRowDxfId="266" dataCellStyle="Pourcentage">
      <totalsRowFormula>IFERROR(SUMPRODUCT(INDIRECT("Frais_de_déplacement[Montant]"),Frais_de_déplacement[M11]),0)</totalsRowFormula>
    </tableColumn>
    <tableColumn id="15" xr3:uid="{00000000-0010-0000-0B00-00000F000000}" name="M12" totalsRowFunction="custom" dataDxfId="265" totalsRowDxfId="264" dataCellStyle="Pourcentage">
      <totalsRowFormula>IFERROR(SUMPRODUCT(INDIRECT("Frais_de_déplacement[Montant]"),Frais_de_déplacement[M12]),0)</totalsRowFormula>
    </tableColumn>
    <tableColumn id="16" xr3:uid="{00000000-0010-0000-0B00-000010000000}" name="M13" totalsRowFunction="custom" dataDxfId="263" totalsRowDxfId="262" dataCellStyle="Pourcentage">
      <totalsRowFormula>IFERROR(SUMPRODUCT(INDIRECT("Frais_de_déplacement[Montant]"),Frais_de_déplacement[M13]),0)</totalsRowFormula>
    </tableColumn>
    <tableColumn id="17" xr3:uid="{00000000-0010-0000-0B00-000011000000}" name="M14" totalsRowFunction="custom" dataDxfId="261" totalsRowDxfId="260" dataCellStyle="Pourcentage">
      <totalsRowFormula>IFERROR(SUMPRODUCT(INDIRECT("Frais_de_déplacement[Montant]"),Frais_de_déplacement[M14]),0)</totalsRowFormula>
    </tableColumn>
    <tableColumn id="18" xr3:uid="{00000000-0010-0000-0B00-000012000000}" name="M15" totalsRowFunction="custom" dataDxfId="259" totalsRowDxfId="258" dataCellStyle="Pourcentage">
      <totalsRowFormula>IFERROR(SUMPRODUCT(INDIRECT("Frais_de_déplacement[Montant]"),Frais_de_déplacement[M15]),0)</totalsRowFormula>
    </tableColumn>
    <tableColumn id="19" xr3:uid="{00000000-0010-0000-0B00-000013000000}" name="M16" totalsRowFunction="custom" dataDxfId="257" totalsRowDxfId="256" dataCellStyle="Pourcentage">
      <totalsRowFormula>IFERROR(SUMPRODUCT(INDIRECT("Frais_de_déplacement[Montant]"),Frais_de_déplacement[M16]),0)</totalsRowFormula>
    </tableColumn>
    <tableColumn id="20" xr3:uid="{00000000-0010-0000-0B00-000014000000}" name="M17" totalsRowFunction="custom" dataDxfId="255" totalsRowDxfId="254" dataCellStyle="Pourcentage">
      <totalsRowFormula>IFERROR(SUMPRODUCT(INDIRECT("Frais_de_déplacement[Montant]"),Frais_de_déplacement[M17]),0)</totalsRowFormula>
    </tableColumn>
    <tableColumn id="21" xr3:uid="{00000000-0010-0000-0B00-000015000000}" name="M18" totalsRowFunction="custom" dataDxfId="253" totalsRowDxfId="252" dataCellStyle="Pourcentage">
      <totalsRowFormula>IFERROR(SUMPRODUCT(INDIRECT("Frais_de_déplacement[Montant]"),Frais_de_déplacement[M18]),0)</totalsRowFormula>
    </tableColumn>
    <tableColumn id="25" xr3:uid="{00000000-0010-0000-0B00-000019000000}" name="M19" totalsRowFunction="custom" dataDxfId="251" totalsRowDxfId="250" dataCellStyle="Pourcentage">
      <totalsRowFormula>IFERROR(SUMPRODUCT(INDIRECT("Frais_de_déplacement[Montant]"),Frais_de_déplacement[M19]),0)</totalsRowFormula>
    </tableColumn>
    <tableColumn id="26" xr3:uid="{00000000-0010-0000-0B00-00001A000000}" name="M20" totalsRowFunction="custom" dataDxfId="249" totalsRowDxfId="248" dataCellStyle="Pourcentage">
      <totalsRowFormula>IFERROR(SUMPRODUCT(INDIRECT("Frais_de_déplacement[Montant]"),Frais_de_déplacement[M20]),0)</totalsRowFormula>
    </tableColumn>
    <tableColumn id="27" xr3:uid="{00000000-0010-0000-0B00-00001B000000}" name="M21" totalsRowFunction="custom" dataDxfId="247" totalsRowDxfId="246" dataCellStyle="Pourcentage">
      <totalsRowFormula>IFERROR(SUMPRODUCT(INDIRECT("Frais_de_déplacement[Montant]"),Frais_de_déplacement[M21]),0)</totalsRowFormula>
    </tableColumn>
    <tableColumn id="28" xr3:uid="{00000000-0010-0000-0B00-00001C000000}" name="M22" totalsRowFunction="custom" dataDxfId="245" totalsRowDxfId="244" dataCellStyle="Pourcentage">
      <totalsRowFormula>IFERROR(SUMPRODUCT(INDIRECT("Frais_de_déplacement[Montant]"),Frais_de_déplacement[M22]),0)</totalsRowFormula>
    </tableColumn>
    <tableColumn id="29" xr3:uid="{00000000-0010-0000-0B00-00001D000000}" name="M23" totalsRowFunction="custom" dataDxfId="243" totalsRowDxfId="242" dataCellStyle="Pourcentage">
      <totalsRowFormula>IFERROR(SUMPRODUCT(INDIRECT("Frais_de_déplacement[Montant]"),Frais_de_déplacement[M23]),0)</totalsRowFormula>
    </tableColumn>
    <tableColumn id="30" xr3:uid="{00000000-0010-0000-0B00-00001E000000}" name="M24" totalsRowFunction="custom" dataDxfId="241" totalsRowDxfId="240" dataCellStyle="Pourcentage">
      <totalsRowFormula>IFERROR(SUMPRODUCT(INDIRECT("Frais_de_déplacement[Montant]"),Frais_de_déplacement[M24]),0)</totalsRow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Hébergement" displayName="Hébergement" ref="A2:AB4" totalsRowCount="1" headerRowDxfId="239">
  <autoFilter ref="A2:AB3" xr:uid="{00000000-0009-0000-0100-00000D000000}"/>
  <tableColumns count="28">
    <tableColumn id="1" xr3:uid="{00000000-0010-0000-0C00-000001000000}" name="N°" dataDxfId="238"/>
    <tableColumn id="2" xr3:uid="{00000000-0010-0000-0C00-000002000000}" name="Description" dataDxfId="237"/>
    <tableColumn id="3" xr3:uid="{00000000-0010-0000-0C00-000003000000}" name="Montant par mois" dataDxfId="236" totalsRowDxfId="235" dataCellStyle="Milliers"/>
    <tableColumn id="30" xr3:uid="{00000000-0010-0000-0C00-00001E000000}" name="Commentaire" totalsRowLabel="TOTAL (FCFA) / mois - HT" dataDxfId="234" totalsRowDxfId="233" dataCellStyle="Milliers"/>
    <tableColumn id="4" xr3:uid="{00000000-0010-0000-0C00-000004000000}" name="M01" totalsRowFunction="custom" dataDxfId="232" totalsRowDxfId="231" dataCellStyle="Milliers">
      <totalsRowFormula>IFERROR(SUMPRODUCT(INDIRECT("Hébergement[Montant par mois]"),Hébergement[M01]),0)</totalsRowFormula>
    </tableColumn>
    <tableColumn id="5" xr3:uid="{00000000-0010-0000-0C00-000005000000}" name="M02" totalsRowFunction="custom" dataDxfId="230" totalsRowDxfId="229" dataCellStyle="Milliers">
      <totalsRowFormula>IFERROR(SUMPRODUCT(INDIRECT("Hébergement[Montant par mois]"),Hébergement[M02]),0)</totalsRowFormula>
    </tableColumn>
    <tableColumn id="6" xr3:uid="{00000000-0010-0000-0C00-000006000000}" name="M03" totalsRowFunction="custom" dataDxfId="228" totalsRowDxfId="227" dataCellStyle="Milliers">
      <totalsRowFormula>IFERROR(SUMPRODUCT(INDIRECT("Hébergement[Montant par mois]"),Hébergement[M03]),0)</totalsRowFormula>
    </tableColumn>
    <tableColumn id="7" xr3:uid="{00000000-0010-0000-0C00-000007000000}" name="M04" totalsRowFunction="custom" dataDxfId="226" totalsRowDxfId="225" dataCellStyle="Milliers">
      <totalsRowFormula>IFERROR(SUMPRODUCT(INDIRECT("Hébergement[Montant par mois]"),Hébergement[M04]),0)</totalsRowFormula>
    </tableColumn>
    <tableColumn id="8" xr3:uid="{00000000-0010-0000-0C00-000008000000}" name="M05" totalsRowFunction="custom" dataDxfId="224" totalsRowDxfId="223" dataCellStyle="Milliers">
      <totalsRowFormula>IFERROR(SUMPRODUCT(INDIRECT("Hébergement[Montant par mois]"),Hébergement[M05]),0)</totalsRowFormula>
    </tableColumn>
    <tableColumn id="9" xr3:uid="{00000000-0010-0000-0C00-000009000000}" name="M06" totalsRowFunction="custom" dataDxfId="222" totalsRowDxfId="221" dataCellStyle="Milliers">
      <totalsRowFormula>IFERROR(SUMPRODUCT(INDIRECT("Hébergement[Montant par mois]"),Hébergement[M06]),0)</totalsRowFormula>
    </tableColumn>
    <tableColumn id="10" xr3:uid="{00000000-0010-0000-0C00-00000A000000}" name="M07" totalsRowFunction="custom" dataDxfId="220" totalsRowDxfId="219" dataCellStyle="Milliers">
      <totalsRowFormula>IFERROR(SUMPRODUCT(INDIRECT("Hébergement[Montant par mois]"),Hébergement[M07]),0)</totalsRowFormula>
    </tableColumn>
    <tableColumn id="11" xr3:uid="{00000000-0010-0000-0C00-00000B000000}" name="M08" totalsRowFunction="custom" dataDxfId="218" totalsRowDxfId="217" dataCellStyle="Milliers">
      <totalsRowFormula>IFERROR(SUMPRODUCT(INDIRECT("Hébergement[Montant par mois]"),Hébergement[M08]),0)</totalsRowFormula>
    </tableColumn>
    <tableColumn id="12" xr3:uid="{00000000-0010-0000-0C00-00000C000000}" name="M09" totalsRowFunction="custom" dataDxfId="216" totalsRowDxfId="215" dataCellStyle="Milliers">
      <totalsRowFormula>IFERROR(SUMPRODUCT(INDIRECT("Hébergement[Montant par mois]"),Hébergement[M09]),0)</totalsRowFormula>
    </tableColumn>
    <tableColumn id="13" xr3:uid="{00000000-0010-0000-0C00-00000D000000}" name="M10" totalsRowFunction="custom" dataDxfId="214" totalsRowDxfId="213" dataCellStyle="Milliers">
      <totalsRowFormula>IFERROR(SUMPRODUCT(INDIRECT("Hébergement[Montant par mois]"),Hébergement[M10]),0)</totalsRowFormula>
    </tableColumn>
    <tableColumn id="14" xr3:uid="{00000000-0010-0000-0C00-00000E000000}" name="M11" totalsRowFunction="custom" dataDxfId="212" totalsRowDxfId="211" dataCellStyle="Milliers">
      <totalsRowFormula>IFERROR(SUMPRODUCT(INDIRECT("Hébergement[Montant par mois]"),Hébergement[M11]),0)</totalsRowFormula>
    </tableColumn>
    <tableColumn id="15" xr3:uid="{00000000-0010-0000-0C00-00000F000000}" name="M12" totalsRowFunction="custom" dataDxfId="210" totalsRowDxfId="209" dataCellStyle="Milliers">
      <totalsRowFormula>IFERROR(SUMPRODUCT(INDIRECT("Hébergement[Montant par mois]"),Hébergement[M12]),0)</totalsRowFormula>
    </tableColumn>
    <tableColumn id="16" xr3:uid="{00000000-0010-0000-0C00-000010000000}" name="M13" totalsRowFunction="custom" dataDxfId="208" totalsRowDxfId="207" dataCellStyle="Milliers">
      <totalsRowFormula>IFERROR(SUMPRODUCT(INDIRECT("Hébergement[Montant par mois]"),Hébergement[M13]),0)</totalsRowFormula>
    </tableColumn>
    <tableColumn id="17" xr3:uid="{00000000-0010-0000-0C00-000011000000}" name="M14" totalsRowFunction="custom" dataDxfId="206" totalsRowDxfId="205" dataCellStyle="Milliers">
      <totalsRowFormula>IFERROR(SUMPRODUCT(INDIRECT("Hébergement[Montant par mois]"),Hébergement[M14]),0)</totalsRowFormula>
    </tableColumn>
    <tableColumn id="18" xr3:uid="{00000000-0010-0000-0C00-000012000000}" name="M15" totalsRowFunction="custom" dataDxfId="204" totalsRowDxfId="203" dataCellStyle="Milliers">
      <totalsRowFormula>IFERROR(SUMPRODUCT(INDIRECT("Hébergement[Montant par mois]"),Hébergement[M15]),0)</totalsRowFormula>
    </tableColumn>
    <tableColumn id="19" xr3:uid="{00000000-0010-0000-0C00-000013000000}" name="M16" totalsRowFunction="custom" dataDxfId="202" totalsRowDxfId="201" dataCellStyle="Milliers">
      <totalsRowFormula>IFERROR(SUMPRODUCT(INDIRECT("Hébergement[Montant par mois]"),Hébergement[M16]),0)</totalsRowFormula>
    </tableColumn>
    <tableColumn id="20" xr3:uid="{00000000-0010-0000-0C00-000014000000}" name="M17" totalsRowFunction="custom" dataDxfId="200" totalsRowDxfId="199" dataCellStyle="Milliers">
      <totalsRowFormula>IFERROR(SUMPRODUCT(INDIRECT("Hébergement[Montant par mois]"),Hébergement[M17]),0)</totalsRowFormula>
    </tableColumn>
    <tableColumn id="21" xr3:uid="{00000000-0010-0000-0C00-000015000000}" name="M18" totalsRowFunction="custom" dataDxfId="198" totalsRowDxfId="197" dataCellStyle="Milliers">
      <totalsRowFormula>IFERROR(SUMPRODUCT(INDIRECT("Hébergement[Montant par mois]"),Hébergement[M18]),0)</totalsRowFormula>
    </tableColumn>
    <tableColumn id="23" xr3:uid="{00000000-0010-0000-0C00-000017000000}" name="M19" totalsRowFunction="custom" dataDxfId="196" totalsRowDxfId="195" dataCellStyle="Milliers">
      <totalsRowFormula>IFERROR(SUMPRODUCT(INDIRECT("Hébergement[Montant par mois]"),Hébergement[M19]),0)</totalsRowFormula>
    </tableColumn>
    <tableColumn id="24" xr3:uid="{00000000-0010-0000-0C00-000018000000}" name="M20" totalsRowFunction="custom" dataDxfId="194" totalsRowDxfId="193" dataCellStyle="Milliers">
      <totalsRowFormula>IFERROR(SUMPRODUCT(INDIRECT("Hébergement[Montant par mois]"),Hébergement[M20]),0)</totalsRowFormula>
    </tableColumn>
    <tableColumn id="25" xr3:uid="{00000000-0010-0000-0C00-000019000000}" name="M21" totalsRowFunction="custom" dataDxfId="192" totalsRowDxfId="191" dataCellStyle="Milliers">
      <totalsRowFormula>IFERROR(SUMPRODUCT(INDIRECT("Hébergement[Montant par mois]"),Hébergement[M21]),0)</totalsRowFormula>
    </tableColumn>
    <tableColumn id="26" xr3:uid="{00000000-0010-0000-0C00-00001A000000}" name="M22" totalsRowFunction="custom" dataDxfId="190" totalsRowDxfId="189" dataCellStyle="Milliers">
      <totalsRowFormula>IFERROR(SUMPRODUCT(INDIRECT("Hébergement[Montant par mois]"),Hébergement[M22]),0)</totalsRowFormula>
    </tableColumn>
    <tableColumn id="27" xr3:uid="{00000000-0010-0000-0C00-00001B000000}" name="M23" totalsRowFunction="custom" dataDxfId="188" totalsRowDxfId="187" dataCellStyle="Milliers">
      <totalsRowFormula>IFERROR(SUMPRODUCT(INDIRECT("Hébergement[Montant par mois]"),Hébergement[M23]),0)</totalsRowFormula>
    </tableColumn>
    <tableColumn id="28" xr3:uid="{00000000-0010-0000-0C00-00001C000000}" name="M24" totalsRowFunction="custom" dataDxfId="186" totalsRowDxfId="185" dataCellStyle="Milliers">
      <totalsRowFormula>IFERROR(SUMPRODUCT(INDIRECT("Hébergement[Montant par mois]"),Hébergement[M24]),0)</totalsRow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Administration" displayName="Administration" ref="A2:AC6" totalsRowCount="1" headerRowDxfId="184">
  <autoFilter ref="A2:AC5" xr:uid="{00000000-0009-0000-0100-00000E000000}"/>
  <tableColumns count="29">
    <tableColumn id="1" xr3:uid="{00000000-0010-0000-0D00-000001000000}" name="N°" dataDxfId="183"/>
    <tableColumn id="2" xr3:uid="{00000000-0010-0000-0D00-000002000000}" name="Description" dataDxfId="182"/>
    <tableColumn id="3" xr3:uid="{00000000-0010-0000-0D00-000003000000}" name="Montant" dataDxfId="181" totalsRowDxfId="180" dataCellStyle="Milliers"/>
    <tableColumn id="22" xr3:uid="{00000000-0010-0000-0D00-000016000000}" name="Commentaire" dataDxfId="179"/>
    <tableColumn id="31" xr3:uid="{00000000-0010-0000-0D00-00001F000000}" name="Cumul (%)" totalsRowLabel="TOTAL (FCFA) / mois - HT" dataDxfId="178" totalsRowDxfId="177" dataCellStyle="Pourcentage">
      <calculatedColumnFormula>SUM(Administration[[#This Row],[M01]:[M24]])</calculatedColumnFormula>
    </tableColumn>
    <tableColumn id="4" xr3:uid="{00000000-0010-0000-0D00-000004000000}" name="M01" totalsRowFunction="custom" dataDxfId="176" totalsRowDxfId="175" dataCellStyle="Milliers">
      <totalsRowFormula>IFERROR(SUMPRODUCT(INDIRECT("Administration[Montant]"),Administration[M01]),0)</totalsRowFormula>
    </tableColumn>
    <tableColumn id="5" xr3:uid="{00000000-0010-0000-0D00-000005000000}" name="M02" totalsRowFunction="custom" dataDxfId="174" totalsRowDxfId="173" dataCellStyle="Milliers">
      <totalsRowFormula>IFERROR(SUMPRODUCT(INDIRECT("Administration[Montant]"),Administration[M02]),0)</totalsRowFormula>
    </tableColumn>
    <tableColumn id="6" xr3:uid="{00000000-0010-0000-0D00-000006000000}" name="M03" totalsRowFunction="custom" dataDxfId="172" totalsRowDxfId="171" dataCellStyle="Milliers">
      <totalsRowFormula>IFERROR(SUMPRODUCT(INDIRECT("Administration[Montant]"),Administration[M03]),0)</totalsRowFormula>
    </tableColumn>
    <tableColumn id="7" xr3:uid="{00000000-0010-0000-0D00-000007000000}" name="M04" totalsRowFunction="custom" dataDxfId="170" totalsRowDxfId="169" dataCellStyle="Milliers">
      <totalsRowFormula>IFERROR(SUMPRODUCT(INDIRECT("Administration[Montant]"),Administration[M04]),0)</totalsRowFormula>
    </tableColumn>
    <tableColumn id="8" xr3:uid="{00000000-0010-0000-0D00-000008000000}" name="M05" totalsRowFunction="custom" dataDxfId="168" totalsRowDxfId="167" dataCellStyle="Milliers">
      <totalsRowFormula>IFERROR(SUMPRODUCT(INDIRECT("Administration[Montant]"),Administration[M05]),0)</totalsRowFormula>
    </tableColumn>
    <tableColumn id="9" xr3:uid="{00000000-0010-0000-0D00-000009000000}" name="M06" totalsRowFunction="custom" dataDxfId="166" totalsRowDxfId="165" dataCellStyle="Milliers">
      <totalsRowFormula>IFERROR(SUMPRODUCT(INDIRECT("Administration[Montant]"),Administration[M06]),0)</totalsRowFormula>
    </tableColumn>
    <tableColumn id="10" xr3:uid="{00000000-0010-0000-0D00-00000A000000}" name="M07" totalsRowFunction="custom" dataDxfId="164" totalsRowDxfId="163" dataCellStyle="Milliers">
      <totalsRowFormula>IFERROR(SUMPRODUCT(INDIRECT("Administration[Montant]"),Administration[M07]),0)</totalsRowFormula>
    </tableColumn>
    <tableColumn id="11" xr3:uid="{00000000-0010-0000-0D00-00000B000000}" name="M08" totalsRowFunction="custom" dataDxfId="162" totalsRowDxfId="161" dataCellStyle="Milliers">
      <totalsRowFormula>IFERROR(SUMPRODUCT(INDIRECT("Administration[Montant]"),Administration[M08]),0)</totalsRowFormula>
    </tableColumn>
    <tableColumn id="12" xr3:uid="{00000000-0010-0000-0D00-00000C000000}" name="M09" totalsRowFunction="custom" dataDxfId="160" totalsRowDxfId="159" dataCellStyle="Milliers">
      <totalsRowFormula>IFERROR(SUMPRODUCT(INDIRECT("Administration[Montant]"),Administration[M09]),0)</totalsRowFormula>
    </tableColumn>
    <tableColumn id="13" xr3:uid="{00000000-0010-0000-0D00-00000D000000}" name="M10" totalsRowFunction="custom" dataDxfId="158" totalsRowDxfId="157" dataCellStyle="Milliers">
      <totalsRowFormula>IFERROR(SUMPRODUCT(INDIRECT("Administration[Montant]"),Administration[M10]),0)</totalsRowFormula>
    </tableColumn>
    <tableColumn id="14" xr3:uid="{00000000-0010-0000-0D00-00000E000000}" name="M11" totalsRowFunction="custom" dataDxfId="156" totalsRowDxfId="155" dataCellStyle="Milliers">
      <totalsRowFormula>IFERROR(SUMPRODUCT(INDIRECT("Administration[Montant]"),Administration[M11]),0)</totalsRowFormula>
    </tableColumn>
    <tableColumn id="15" xr3:uid="{00000000-0010-0000-0D00-00000F000000}" name="M12" totalsRowFunction="custom" dataDxfId="154" totalsRowDxfId="153" dataCellStyle="Milliers">
      <totalsRowFormula>IFERROR(SUMPRODUCT(INDIRECT("Administration[Montant]"),Administration[M12]),0)</totalsRowFormula>
    </tableColumn>
    <tableColumn id="16" xr3:uid="{00000000-0010-0000-0D00-000010000000}" name="M13" totalsRowFunction="custom" dataDxfId="152" totalsRowDxfId="151" dataCellStyle="Milliers">
      <totalsRowFormula>IFERROR(SUMPRODUCT(INDIRECT("Administration[Montant]"),Administration[M13]),0)</totalsRowFormula>
    </tableColumn>
    <tableColumn id="17" xr3:uid="{00000000-0010-0000-0D00-000011000000}" name="M14" totalsRowFunction="custom" dataDxfId="150" totalsRowDxfId="149" dataCellStyle="Milliers">
      <totalsRowFormula>IFERROR(SUMPRODUCT(INDIRECT("Administration[Montant]"),Administration[M14]),0)</totalsRowFormula>
    </tableColumn>
    <tableColumn id="18" xr3:uid="{00000000-0010-0000-0D00-000012000000}" name="M15" totalsRowFunction="custom" dataDxfId="148" totalsRowDxfId="147" dataCellStyle="Milliers">
      <totalsRowFormula>IFERROR(SUMPRODUCT(INDIRECT("Administration[Montant]"),Administration[M15]),0)</totalsRowFormula>
    </tableColumn>
    <tableColumn id="19" xr3:uid="{00000000-0010-0000-0D00-000013000000}" name="M16" totalsRowFunction="custom" dataDxfId="146" totalsRowDxfId="145" dataCellStyle="Milliers">
      <totalsRowFormula>IFERROR(SUMPRODUCT(INDIRECT("Administration[Montant]"),Administration[M16]),0)</totalsRowFormula>
    </tableColumn>
    <tableColumn id="20" xr3:uid="{00000000-0010-0000-0D00-000014000000}" name="M17" totalsRowFunction="custom" dataDxfId="144" totalsRowDxfId="143" dataCellStyle="Milliers">
      <totalsRowFormula>IFERROR(SUMPRODUCT(INDIRECT("Administration[Montant]"),Administration[M17]),0)</totalsRowFormula>
    </tableColumn>
    <tableColumn id="21" xr3:uid="{00000000-0010-0000-0D00-000015000000}" name="M18" totalsRowFunction="custom" dataDxfId="142" totalsRowDxfId="141" dataCellStyle="Milliers">
      <totalsRowFormula>IFERROR(SUMPRODUCT(INDIRECT("Administration[Montant]"),Administration[M18]),0)</totalsRowFormula>
    </tableColumn>
    <tableColumn id="24" xr3:uid="{00000000-0010-0000-0D00-000018000000}" name="M19" totalsRowFunction="custom" dataDxfId="140" totalsRowDxfId="139" dataCellStyle="Milliers">
      <totalsRowFormula>IFERROR(SUMPRODUCT(INDIRECT("Administration[Montant]"),Administration[M19]),0)</totalsRowFormula>
    </tableColumn>
    <tableColumn id="25" xr3:uid="{00000000-0010-0000-0D00-000019000000}" name="M20" totalsRowFunction="custom" dataDxfId="138" totalsRowDxfId="137" dataCellStyle="Milliers">
      <totalsRowFormula>IFERROR(SUMPRODUCT(INDIRECT("Administration[Montant]"),Administration[M20]),0)</totalsRowFormula>
    </tableColumn>
    <tableColumn id="26" xr3:uid="{00000000-0010-0000-0D00-00001A000000}" name="M21" totalsRowFunction="custom" dataDxfId="136" totalsRowDxfId="135" dataCellStyle="Milliers">
      <totalsRowFormula>IFERROR(SUMPRODUCT(INDIRECT("Administration[Montant]"),Administration[M21]),0)</totalsRowFormula>
    </tableColumn>
    <tableColumn id="27" xr3:uid="{00000000-0010-0000-0D00-00001B000000}" name="M22" totalsRowFunction="custom" dataDxfId="134" totalsRowDxfId="133" dataCellStyle="Milliers">
      <totalsRowFormula>IFERROR(SUMPRODUCT(INDIRECT("Administration[Montant]"),Administration[M22]),0)</totalsRowFormula>
    </tableColumn>
    <tableColumn id="28" xr3:uid="{00000000-0010-0000-0D00-00001C000000}" name="M23" totalsRowFunction="custom" dataDxfId="132" totalsRowDxfId="131" dataCellStyle="Milliers">
      <totalsRowFormula>IFERROR(SUMPRODUCT(INDIRECT("Administration[Montant]"),Administration[M23]),0)</totalsRowFormula>
    </tableColumn>
    <tableColumn id="29" xr3:uid="{00000000-0010-0000-0D00-00001D000000}" name="M24" totalsRowFunction="custom" dataDxfId="130" totalsRowDxfId="129" dataCellStyle="Milliers">
      <totalsRowFormula>IFERROR(SUMPRODUCT(INDIRECT("Administration[Montant]"),Administration[M24]),0)</totalsRow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Investissement" displayName="Investissement" ref="A2:AI5" totalsRowCount="1" headerRowDxfId="128">
  <autoFilter ref="A2:AI4" xr:uid="{00000000-0009-0000-0100-00000F000000}"/>
  <tableColumns count="35">
    <tableColumn id="1" xr3:uid="{00000000-0010-0000-0E00-000001000000}" name="N°" dataDxfId="127"/>
    <tableColumn id="3" xr3:uid="{00000000-0010-0000-0E00-000003000000}" name="Description" dataDxfId="126"/>
    <tableColumn id="4" xr3:uid="{00000000-0010-0000-0E00-000004000000}" name="U" dataDxfId="125" totalsRowDxfId="124"/>
    <tableColumn id="5" xr3:uid="{00000000-0010-0000-0E00-000005000000}" name="Qté" dataDxfId="123" totalsRowDxfId="122" dataCellStyle="Milliers"/>
    <tableColumn id="6" xr3:uid="{00000000-0010-0000-0E00-000006000000}" name="Prix unitaire (HT)" dataDxfId="121" totalsRowDxfId="120" dataCellStyle="Milliers"/>
    <tableColumn id="7" xr3:uid="{00000000-0010-0000-0E00-000007000000}" name="Prix total_x000a_  HD (HT)" dataDxfId="119" totalsRowDxfId="118" dataCellStyle="Milliers">
      <calculatedColumnFormula>Investissement[[#This Row],[Prix unitaire (HT)]]*Investissement[[#This Row],[Qté]]</calculatedColumnFormula>
    </tableColumn>
    <tableColumn id="34" xr3:uid="{00000000-0010-0000-0E00-000022000000}" name="Transport Maritime Total" dataDxfId="117" totalsRowDxfId="116" dataCellStyle="Milliers"/>
    <tableColumn id="36" xr3:uid="{00000000-0010-0000-0E00-000024000000}" name="Douan Total" dataDxfId="115" totalsRowDxfId="114" dataCellStyle="Milliers"/>
    <tableColumn id="35" xr3:uid="{00000000-0010-0000-0E00-000023000000}" name="Prix total_x000a_Inc-Douane transport" dataDxfId="113" totalsRowDxfId="112" dataCellStyle="Milliers">
      <calculatedColumnFormula>Investissement[[#This Row],[Prix total
  HD (HT)]]+Investissement[[#This Row],[Transport Maritime Total]]+Investissement[[#This Row],[Douan Total]]</calculatedColumnFormula>
    </tableColumn>
    <tableColumn id="8" xr3:uid="{00000000-0010-0000-0E00-000008000000}" name="Commentaires" dataDxfId="111"/>
    <tableColumn id="33" xr3:uid="{00000000-0010-0000-0E00-000021000000}" name="Cumule (%)" totalsRowLabel="TOTAL (FCFA) / mois - HT" dataDxfId="110" totalsRowDxfId="109" dataCellStyle="Pourcentage">
      <calculatedColumnFormula>SUM(Investissement[[#This Row],[M01]:[M24]])</calculatedColumnFormula>
    </tableColumn>
    <tableColumn id="9" xr3:uid="{00000000-0010-0000-0E00-000009000000}" name="M01" totalsRowFunction="custom" dataDxfId="108" totalsRowDxfId="107" dataCellStyle="Pourcentage">
      <totalsRowFormula>IFERROR(SUMPRODUCT(INDIRECT("Investissement[Prix total
Inc-Douane transport]"),Investissement[M01]),0)</totalsRowFormula>
    </tableColumn>
    <tableColumn id="10" xr3:uid="{00000000-0010-0000-0E00-00000A000000}" name="M02" totalsRowFunction="custom" dataDxfId="106" totalsRowDxfId="105" dataCellStyle="Pourcentage">
      <totalsRowFormula>IFERROR(SUMPRODUCT(INDIRECT("Investissement[Prix total
Inc-Douane transport]"),Investissement[M02]),0)</totalsRowFormula>
    </tableColumn>
    <tableColumn id="11" xr3:uid="{00000000-0010-0000-0E00-00000B000000}" name="M03" totalsRowFunction="custom" dataDxfId="104" totalsRowDxfId="103" dataCellStyle="Pourcentage">
      <totalsRowFormula>IFERROR(SUMPRODUCT(INDIRECT("Investissement[Prix total
Inc-Douane transport]"),Investissement[M03]),0)</totalsRowFormula>
    </tableColumn>
    <tableColumn id="12" xr3:uid="{00000000-0010-0000-0E00-00000C000000}" name="M04" totalsRowFunction="custom" dataDxfId="102" totalsRowDxfId="101" dataCellStyle="Pourcentage">
      <totalsRowFormula>IFERROR(SUMPRODUCT(INDIRECT("Investissement[Prix total
Inc-Douane transport]"),Investissement[M04]),0)</totalsRowFormula>
    </tableColumn>
    <tableColumn id="13" xr3:uid="{00000000-0010-0000-0E00-00000D000000}" name="M05" totalsRowFunction="custom" dataDxfId="100" totalsRowDxfId="99" dataCellStyle="Pourcentage">
      <totalsRowFormula>IFERROR(SUMPRODUCT(INDIRECT("Investissement[Prix total
Inc-Douane transport]"),Investissement[M05]),0)</totalsRowFormula>
    </tableColumn>
    <tableColumn id="14" xr3:uid="{00000000-0010-0000-0E00-00000E000000}" name="M06" totalsRowFunction="custom" dataDxfId="98" totalsRowDxfId="97" dataCellStyle="Pourcentage">
      <totalsRowFormula>IFERROR(SUMPRODUCT(INDIRECT("Investissement[Prix total
Inc-Douane transport]"),Investissement[M06]),0)</totalsRowFormula>
    </tableColumn>
    <tableColumn id="15" xr3:uid="{00000000-0010-0000-0E00-00000F000000}" name="M07" totalsRowFunction="custom" dataDxfId="96" totalsRowDxfId="95" dataCellStyle="Pourcentage">
      <totalsRowFormula>IFERROR(SUMPRODUCT(INDIRECT("Investissement[Prix total
Inc-Douane transport]"),Investissement[M07]),0)</totalsRowFormula>
    </tableColumn>
    <tableColumn id="16" xr3:uid="{00000000-0010-0000-0E00-000010000000}" name="M08" totalsRowFunction="custom" dataDxfId="94" totalsRowDxfId="93" dataCellStyle="Pourcentage">
      <totalsRowFormula>IFERROR(SUMPRODUCT(INDIRECT("Investissement[Prix total
Inc-Douane transport]"),Investissement[M08]),0)</totalsRowFormula>
    </tableColumn>
    <tableColumn id="17" xr3:uid="{00000000-0010-0000-0E00-000011000000}" name="M09" totalsRowFunction="custom" dataDxfId="92" totalsRowDxfId="91" dataCellStyle="Pourcentage">
      <totalsRowFormula>IFERROR(SUMPRODUCT(INDIRECT("Investissement[Prix total
Inc-Douane transport]"),Investissement[M09]),0)</totalsRowFormula>
    </tableColumn>
    <tableColumn id="18" xr3:uid="{00000000-0010-0000-0E00-000012000000}" name="M10" totalsRowFunction="custom" dataDxfId="90" totalsRowDxfId="89" dataCellStyle="Pourcentage">
      <totalsRowFormula>IFERROR(SUMPRODUCT(INDIRECT("Investissement[Prix total
Inc-Douane transport]"),Investissement[M10]),0)</totalsRowFormula>
    </tableColumn>
    <tableColumn id="19" xr3:uid="{00000000-0010-0000-0E00-000013000000}" name="M11" totalsRowFunction="custom" dataDxfId="88" totalsRowDxfId="87" dataCellStyle="Pourcentage">
      <totalsRowFormula>IFERROR(SUMPRODUCT(INDIRECT("Investissement[Prix total
Inc-Douane transport]"),Investissement[M11]),0)</totalsRowFormula>
    </tableColumn>
    <tableColumn id="20" xr3:uid="{00000000-0010-0000-0E00-000014000000}" name="M12" totalsRowFunction="custom" dataDxfId="86" totalsRowDxfId="85" dataCellStyle="Pourcentage">
      <totalsRowFormula>IFERROR(SUMPRODUCT(INDIRECT("Investissement[Prix total
Inc-Douane transport]"),Investissement[M12]),0)</totalsRowFormula>
    </tableColumn>
    <tableColumn id="21" xr3:uid="{00000000-0010-0000-0E00-000015000000}" name="M13" totalsRowFunction="custom" dataDxfId="84" totalsRowDxfId="83" dataCellStyle="Pourcentage">
      <totalsRowFormula>IFERROR(SUMPRODUCT(INDIRECT("Investissement[Prix total
Inc-Douane transport]"),Investissement[M13]),0)</totalsRowFormula>
    </tableColumn>
    <tableColumn id="22" xr3:uid="{00000000-0010-0000-0E00-000016000000}" name="M14" totalsRowFunction="custom" dataDxfId="82" totalsRowDxfId="81" dataCellStyle="Pourcentage">
      <totalsRowFormula>IFERROR(SUMPRODUCT(INDIRECT("Investissement[Prix total
Inc-Douane transport]"),Investissement[M14]),0)</totalsRowFormula>
    </tableColumn>
    <tableColumn id="23" xr3:uid="{00000000-0010-0000-0E00-000017000000}" name="M15" totalsRowFunction="custom" dataDxfId="80" totalsRowDxfId="79" dataCellStyle="Pourcentage">
      <totalsRowFormula>IFERROR(SUMPRODUCT(INDIRECT("Investissement[Prix total
Inc-Douane transport]"),Investissement[M15]),0)</totalsRowFormula>
    </tableColumn>
    <tableColumn id="24" xr3:uid="{00000000-0010-0000-0E00-000018000000}" name="M16" totalsRowFunction="custom" dataDxfId="78" totalsRowDxfId="77" dataCellStyle="Pourcentage">
      <totalsRowFormula>IFERROR(SUMPRODUCT(INDIRECT("Investissement[Prix total
Inc-Douane transport]"),Investissement[M16]),0)</totalsRowFormula>
    </tableColumn>
    <tableColumn id="25" xr3:uid="{00000000-0010-0000-0E00-000019000000}" name="M17" totalsRowFunction="custom" dataDxfId="76" totalsRowDxfId="75" dataCellStyle="Pourcentage">
      <totalsRowFormula>IFERROR(SUMPRODUCT(INDIRECT("Investissement[Prix total
Inc-Douane transport]"),Investissement[M17]),0)</totalsRowFormula>
    </tableColumn>
    <tableColumn id="26" xr3:uid="{00000000-0010-0000-0E00-00001A000000}" name="M18" totalsRowFunction="custom" dataDxfId="74" totalsRowDxfId="73" dataCellStyle="Pourcentage">
      <totalsRowFormula>IFERROR(SUMPRODUCT(INDIRECT("Investissement[Prix total
Inc-Douane transport]"),Investissement[M18]),0)</totalsRowFormula>
    </tableColumn>
    <tableColumn id="27" xr3:uid="{00000000-0010-0000-0E00-00001B000000}" name="M19" totalsRowFunction="custom" dataDxfId="72" totalsRowDxfId="71" dataCellStyle="Pourcentage">
      <totalsRowFormula>IFERROR(SUMPRODUCT(INDIRECT("Investissement[Prix total
Inc-Douane transport]"),Investissement[M19]),0)</totalsRowFormula>
    </tableColumn>
    <tableColumn id="28" xr3:uid="{00000000-0010-0000-0E00-00001C000000}" name="M20" totalsRowFunction="custom" dataDxfId="70" totalsRowDxfId="69" dataCellStyle="Pourcentage">
      <totalsRowFormula>IFERROR(SUMPRODUCT(INDIRECT("Investissement[Prix total
Inc-Douane transport]"),Investissement[M20]),0)</totalsRowFormula>
    </tableColumn>
    <tableColumn id="29" xr3:uid="{00000000-0010-0000-0E00-00001D000000}" name="M21" totalsRowFunction="custom" dataDxfId="68" totalsRowDxfId="67" dataCellStyle="Pourcentage">
      <totalsRowFormula>IFERROR(SUMPRODUCT(INDIRECT("Investissement[Prix total
Inc-Douane transport]"),Investissement[M21]),0)</totalsRowFormula>
    </tableColumn>
    <tableColumn id="30" xr3:uid="{00000000-0010-0000-0E00-00001E000000}" name="M22" totalsRowFunction="custom" dataDxfId="66" totalsRowDxfId="65" dataCellStyle="Pourcentage">
      <totalsRowFormula>IFERROR(SUMPRODUCT(INDIRECT("Investissement[Prix total
Inc-Douane transport]"),Investissement[M22]),0)</totalsRowFormula>
    </tableColumn>
    <tableColumn id="31" xr3:uid="{00000000-0010-0000-0E00-00001F000000}" name="M23" totalsRowFunction="custom" dataDxfId="64" totalsRowDxfId="63" dataCellStyle="Pourcentage">
      <totalsRowFormula>IFERROR(SUMPRODUCT(INDIRECT("Investissement[Prix total
Inc-Douane transport]"),Investissement[M23]),0)</totalsRowFormula>
    </tableColumn>
    <tableColumn id="32" xr3:uid="{00000000-0010-0000-0E00-000020000000}" name="M24" totalsRowFunction="custom" dataDxfId="62" totalsRowDxfId="61" dataCellStyle="Pourcentage">
      <totalsRowFormula>IFERROR(SUMPRODUCT(INDIRECT("Investissement[Prix total
Inc-Douane transport]"),Investissement[M24]),0)</totalsRow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F000000}" name="Installation_Chantier" displayName="Installation_Chantier" ref="A2:AG4" totalsRowCount="1" headerRowDxfId="60">
  <autoFilter ref="A2:AG3" xr:uid="{00000000-0009-0000-0100-000002000000}"/>
  <tableColumns count="33">
    <tableColumn id="1" xr3:uid="{00000000-0010-0000-0F00-000001000000}" name="N°" totalsRowLabel="Total"/>
    <tableColumn id="2" xr3:uid="{00000000-0010-0000-0F00-000002000000}" name="TITRE" dataDxfId="59" totalsRowDxfId="58"/>
    <tableColumn id="3" xr3:uid="{00000000-0010-0000-0F00-000003000000}" name="Description"/>
    <tableColumn id="4" xr3:uid="{00000000-0010-0000-0F00-000004000000}" name="U" dataDxfId="57" totalsRowDxfId="56"/>
    <tableColumn id="5" xr3:uid="{00000000-0010-0000-0F00-000005000000}" name="Qté" dataDxfId="55" totalsRowDxfId="54" dataCellStyle="Milliers"/>
    <tableColumn id="6" xr3:uid="{00000000-0010-0000-0F00-000006000000}" name="Prix unitaire (HT)" dataDxfId="53" totalsRowDxfId="52" dataCellStyle="Milliers"/>
    <tableColumn id="7" xr3:uid="{00000000-0010-0000-0F00-000007000000}" name="Prix total (HT)" dataDxfId="51" totalsRowDxfId="50" dataCellStyle="Milliers">
      <calculatedColumnFormula>Installation_Chantier[[#This Row],[Prix unitaire (HT)]]*Installation_Chantier[[#This Row],[Qté]]</calculatedColumnFormula>
    </tableColumn>
    <tableColumn id="8" xr3:uid="{00000000-0010-0000-0F00-000008000000}" name="Commentaires"/>
    <tableColumn id="54" xr3:uid="{00000000-0010-0000-0F00-000036000000}" name="Cumule (%)" totalsRowLabel="TOTAL (FCFA) / mois - HT" dataDxfId="49" totalsRowDxfId="48" dataCellStyle="Pourcentage">
      <calculatedColumnFormula>SUM(Installation_Chantier[[#This Row],[M01]:[M24]])</calculatedColumnFormula>
    </tableColumn>
    <tableColumn id="9" xr3:uid="{00000000-0010-0000-0F00-000009000000}" name="M01" totalsRowFunction="custom" dataDxfId="47" totalsRowDxfId="46" dataCellStyle="Pourcentage">
      <totalsRowFormula>IFERROR(SUMPRODUCT(INDIRECT("Installation_Chantier[Prix total (HT)]"),Installation_Chantier[M01]),0)</totalsRowFormula>
    </tableColumn>
    <tableColumn id="10" xr3:uid="{00000000-0010-0000-0F00-00000A000000}" name="M02" totalsRowFunction="custom" dataDxfId="45" totalsRowDxfId="44" dataCellStyle="Pourcentage">
      <totalsRowFormula>IFERROR(SUMPRODUCT(INDIRECT("Installation_Chantier[Prix total (HT)]"),Installation_Chantier[M02]),0)</totalsRowFormula>
    </tableColumn>
    <tableColumn id="11" xr3:uid="{00000000-0010-0000-0F00-00000B000000}" name="M03" totalsRowFunction="custom" dataDxfId="43" totalsRowDxfId="42" dataCellStyle="Pourcentage">
      <totalsRowFormula>IFERROR(SUMPRODUCT(INDIRECT("Installation_Chantier[Prix total (HT)]"),Installation_Chantier[M03]),0)</totalsRowFormula>
    </tableColumn>
    <tableColumn id="12" xr3:uid="{00000000-0010-0000-0F00-00000C000000}" name="M04" totalsRowFunction="custom" dataDxfId="41" totalsRowDxfId="40" dataCellStyle="Pourcentage">
      <totalsRowFormula>IFERROR(SUMPRODUCT(INDIRECT("Installation_Chantier[Prix total (HT)]"),Installation_Chantier[M04]),0)</totalsRowFormula>
    </tableColumn>
    <tableColumn id="13" xr3:uid="{00000000-0010-0000-0F00-00000D000000}" name="M05" totalsRowFunction="custom" dataDxfId="39" totalsRowDxfId="38" dataCellStyle="Pourcentage">
      <totalsRowFormula>IFERROR(SUMPRODUCT(INDIRECT("Installation_Chantier[Prix total (HT)]"),Installation_Chantier[M05]),0)</totalsRowFormula>
    </tableColumn>
    <tableColumn id="14" xr3:uid="{00000000-0010-0000-0F00-00000E000000}" name="M06" totalsRowFunction="custom" dataDxfId="37" totalsRowDxfId="36" dataCellStyle="Pourcentage">
      <totalsRowFormula>IFERROR(SUMPRODUCT(INDIRECT("Installation_Chantier[Prix total (HT)]"),Installation_Chantier[M06]),0)</totalsRowFormula>
    </tableColumn>
    <tableColumn id="15" xr3:uid="{00000000-0010-0000-0F00-00000F000000}" name="M07" totalsRowFunction="custom" dataDxfId="35" totalsRowDxfId="34" dataCellStyle="Pourcentage">
      <totalsRowFormula>IFERROR(SUMPRODUCT(INDIRECT("Installation_Chantier[Prix total (HT)]"),Installation_Chantier[M07]),0)</totalsRowFormula>
    </tableColumn>
    <tableColumn id="16" xr3:uid="{00000000-0010-0000-0F00-000010000000}" name="M08" totalsRowFunction="custom" dataDxfId="33" totalsRowDxfId="32" dataCellStyle="Pourcentage">
      <totalsRowFormula>IFERROR(SUMPRODUCT(INDIRECT("Installation_Chantier[Prix total (HT)]"),Installation_Chantier[M08]),0)</totalsRowFormula>
    </tableColumn>
    <tableColumn id="17" xr3:uid="{00000000-0010-0000-0F00-000011000000}" name="M09" totalsRowFunction="custom" dataDxfId="31" totalsRowDxfId="30" dataCellStyle="Pourcentage">
      <totalsRowFormula>IFERROR(SUMPRODUCT(INDIRECT("Installation_Chantier[Prix total (HT)]"),Installation_Chantier[M09]),0)</totalsRowFormula>
    </tableColumn>
    <tableColumn id="18" xr3:uid="{00000000-0010-0000-0F00-000012000000}" name="M10" totalsRowFunction="custom" dataDxfId="29" totalsRowDxfId="28" dataCellStyle="Pourcentage">
      <totalsRowFormula>IFERROR(SUMPRODUCT(INDIRECT("Installation_Chantier[Prix total (HT)]"),Installation_Chantier[M10]),0)</totalsRowFormula>
    </tableColumn>
    <tableColumn id="19" xr3:uid="{00000000-0010-0000-0F00-000013000000}" name="M11" totalsRowFunction="custom" dataDxfId="27" totalsRowDxfId="26" dataCellStyle="Pourcentage">
      <totalsRowFormula>IFERROR(SUMPRODUCT(INDIRECT("Installation_Chantier[Prix total (HT)]"),Installation_Chantier[M11]),0)</totalsRowFormula>
    </tableColumn>
    <tableColumn id="20" xr3:uid="{00000000-0010-0000-0F00-000014000000}" name="M12" totalsRowFunction="custom" dataDxfId="25" totalsRowDxfId="24" dataCellStyle="Pourcentage">
      <totalsRowFormula>IFERROR(SUMPRODUCT(INDIRECT("Installation_Chantier[Prix total (HT)]"),Installation_Chantier[M12]),0)</totalsRowFormula>
    </tableColumn>
    <tableColumn id="21" xr3:uid="{00000000-0010-0000-0F00-000015000000}" name="M13" totalsRowFunction="custom" dataDxfId="23" totalsRowDxfId="22" dataCellStyle="Pourcentage">
      <totalsRowFormula>IFERROR(SUMPRODUCT(INDIRECT("Installation_Chantier[Prix total (HT)]"),Installation_Chantier[M13]),0)</totalsRowFormula>
    </tableColumn>
    <tableColumn id="22" xr3:uid="{00000000-0010-0000-0F00-000016000000}" name="M14" totalsRowFunction="custom" dataDxfId="21" totalsRowDxfId="20" dataCellStyle="Pourcentage">
      <totalsRowFormula>IFERROR(SUMPRODUCT(INDIRECT("Installation_Chantier[Prix total (HT)]"),Installation_Chantier[M14]),0)</totalsRowFormula>
    </tableColumn>
    <tableColumn id="23" xr3:uid="{00000000-0010-0000-0F00-000017000000}" name="M15" totalsRowFunction="custom" dataDxfId="19" totalsRowDxfId="18" dataCellStyle="Pourcentage">
      <totalsRowFormula>IFERROR(SUMPRODUCT(INDIRECT("Installation_Chantier[Prix total (HT)]"),Installation_Chantier[M15]),0)</totalsRowFormula>
    </tableColumn>
    <tableColumn id="24" xr3:uid="{00000000-0010-0000-0F00-000018000000}" name="M16" totalsRowFunction="custom" dataDxfId="17" totalsRowDxfId="16" dataCellStyle="Pourcentage">
      <totalsRowFormula>IFERROR(SUMPRODUCT(INDIRECT("Installation_Chantier[Prix total (HT)]"),Installation_Chantier[M16]),0)</totalsRowFormula>
    </tableColumn>
    <tableColumn id="25" xr3:uid="{00000000-0010-0000-0F00-000019000000}" name="M17" totalsRowFunction="custom" dataDxfId="15" totalsRowDxfId="14" dataCellStyle="Pourcentage">
      <totalsRowFormula>IFERROR(SUMPRODUCT(INDIRECT("Installation_Chantier[Prix total (HT)]"),Installation_Chantier[M17]),0)</totalsRowFormula>
    </tableColumn>
    <tableColumn id="26" xr3:uid="{00000000-0010-0000-0F00-00001A000000}" name="M18" totalsRowFunction="custom" dataDxfId="13" totalsRowDxfId="12" dataCellStyle="Pourcentage">
      <totalsRowFormula>IFERROR(SUMPRODUCT(INDIRECT("Installation_Chantier[Prix total (HT)]"),Installation_Chantier[M18]),0)</totalsRowFormula>
    </tableColumn>
    <tableColumn id="27" xr3:uid="{00000000-0010-0000-0F00-00001B000000}" name="M19" totalsRowFunction="custom" dataDxfId="11" totalsRowDxfId="10" dataCellStyle="Pourcentage">
      <totalsRowFormula>IFERROR(SUMPRODUCT(INDIRECT("Installation_Chantier[Prix total (HT)]"),Installation_Chantier[M19]),0)</totalsRowFormula>
    </tableColumn>
    <tableColumn id="28" xr3:uid="{00000000-0010-0000-0F00-00001C000000}" name="M20" totalsRowFunction="custom" dataDxfId="9" totalsRowDxfId="8" dataCellStyle="Pourcentage">
      <totalsRowFormula>IFERROR(SUMPRODUCT(INDIRECT("Installation_Chantier[Prix total (HT)]"),Installation_Chantier[M20]),0)</totalsRowFormula>
    </tableColumn>
    <tableColumn id="29" xr3:uid="{00000000-0010-0000-0F00-00001D000000}" name="M21" totalsRowFunction="custom" dataDxfId="7" totalsRowDxfId="6" dataCellStyle="Pourcentage">
      <totalsRowFormula>IFERROR(SUMPRODUCT(INDIRECT("Installation_Chantier[Prix total (HT)]"),Installation_Chantier[M21]),0)</totalsRowFormula>
    </tableColumn>
    <tableColumn id="30" xr3:uid="{00000000-0010-0000-0F00-00001E000000}" name="M22" totalsRowFunction="custom" dataDxfId="5" totalsRowDxfId="4" dataCellStyle="Pourcentage">
      <totalsRowFormula>IFERROR(SUMPRODUCT(INDIRECT("Installation_Chantier[Prix total (HT)]"),Installation_Chantier[M22]),0)</totalsRowFormula>
    </tableColumn>
    <tableColumn id="31" xr3:uid="{00000000-0010-0000-0F00-00001F000000}" name="M23" totalsRowFunction="custom" dataDxfId="3" totalsRowDxfId="2" dataCellStyle="Pourcentage">
      <totalsRowFormula>IFERROR(SUMPRODUCT(INDIRECT("Installation_Chantier[Prix total (HT)]"),Installation_Chantier[M23]),0)</totalsRowFormula>
    </tableColumn>
    <tableColumn id="32" xr3:uid="{00000000-0010-0000-0F00-000020000000}" name="M24" totalsRowFunction="custom" dataDxfId="1" totalsRowDxfId="0" dataCellStyle="Pourcentage">
      <totalsRowFormula>IFERROR(SUMPRODUCT(INDIRECT("Installation_Chantier[Prix total (HT)]"),Installation_Chantier[M24]),0)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au16" displayName="Tableau16" ref="A8:A18" headerRowDxfId="871" dataDxfId="869" totalsRowDxfId="867" headerRowBorderDxfId="870" tableBorderDxfId="868">
  <autoFilter ref="A8:A18" xr:uid="{00000000-0009-0000-0100-000010000000}"/>
  <tableColumns count="1">
    <tableColumn id="1" xr3:uid="{00000000-0010-0000-0100-000001000000}" name="N°" totalsRowFunction="count" dataDxfId="866" totalsRowDxfId="865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Installation_Chantier2" displayName="Installation_Chantier2" ref="A2:AF4" totalsRowCount="1" headerRowDxfId="864">
  <autoFilter ref="A2:AF3" xr:uid="{00000000-0009-0000-0100-000001000000}"/>
  <tableColumns count="32">
    <tableColumn id="1" xr3:uid="{00000000-0010-0000-0200-000001000000}" name="N°" dataDxfId="863"/>
    <tableColumn id="3" xr3:uid="{00000000-0010-0000-0200-000003000000}" name="Description" dataDxfId="862"/>
    <tableColumn id="4" xr3:uid="{00000000-0010-0000-0200-000004000000}" name="U" dataDxfId="861" totalsRowDxfId="860"/>
    <tableColumn id="5" xr3:uid="{00000000-0010-0000-0200-000005000000}" name="Qté" dataDxfId="859" totalsRowDxfId="858" dataCellStyle="Milliers"/>
    <tableColumn id="6" xr3:uid="{00000000-0010-0000-0200-000006000000}" name="Prix unitaire (HT)" dataDxfId="857" totalsRowDxfId="856" dataCellStyle="Milliers"/>
    <tableColumn id="7" xr3:uid="{00000000-0010-0000-0200-000007000000}" name="Prix total (HT)" dataDxfId="855" totalsRowDxfId="854" dataCellStyle="Milliers">
      <calculatedColumnFormula>Installation_Chantier2[[#This Row],[Prix unitaire (HT)]]*Installation_Chantier2[[#This Row],[Qté]]</calculatedColumnFormula>
    </tableColumn>
    <tableColumn id="8" xr3:uid="{00000000-0010-0000-0200-000008000000}" name="Commentaire" dataDxfId="853"/>
    <tableColumn id="54" xr3:uid="{00000000-0010-0000-0200-000036000000}" name="Cumule (%)" totalsRowLabel="TOTAL (FCFA) / mois - HT" dataDxfId="852" totalsRowDxfId="851" dataCellStyle="Pourcentage">
      <calculatedColumnFormula>SUM(Installation_Chantier2[[#This Row],[M01]:[M24]])</calculatedColumnFormula>
    </tableColumn>
    <tableColumn id="9" xr3:uid="{00000000-0010-0000-0200-000009000000}" name="M01" totalsRowFunction="custom" dataDxfId="850" totalsRowDxfId="849" dataCellStyle="Pourcentage">
      <totalsRowFormula>IFERROR(SUMPRODUCT(INDIRECT("Installation_Chantier2[Prix total (HT)]"),Installation_Chantier2[M01]),0)</totalsRowFormula>
    </tableColumn>
    <tableColumn id="10" xr3:uid="{00000000-0010-0000-0200-00000A000000}" name="M02" totalsRowFunction="custom" dataDxfId="848" totalsRowDxfId="847" dataCellStyle="Pourcentage">
      <totalsRowFormula>IFERROR(SUMPRODUCT(INDIRECT("Installation_Chantier2[Prix total (HT)]"),Installation_Chantier2[M02]),0)</totalsRowFormula>
    </tableColumn>
    <tableColumn id="11" xr3:uid="{00000000-0010-0000-0200-00000B000000}" name="M03" totalsRowFunction="custom" dataDxfId="846" totalsRowDxfId="845" dataCellStyle="Pourcentage">
      <totalsRowFormula>IFERROR(SUMPRODUCT(INDIRECT("Installation_Chantier2[Prix total (HT)]"),Installation_Chantier2[M03]),0)</totalsRowFormula>
    </tableColumn>
    <tableColumn id="12" xr3:uid="{00000000-0010-0000-0200-00000C000000}" name="M04" totalsRowFunction="custom" dataDxfId="844" totalsRowDxfId="843" dataCellStyle="Pourcentage">
      <totalsRowFormula>IFERROR(SUMPRODUCT(INDIRECT("Installation_Chantier2[Prix total (HT)]"),Installation_Chantier2[M04]),0)</totalsRowFormula>
    </tableColumn>
    <tableColumn id="13" xr3:uid="{00000000-0010-0000-0200-00000D000000}" name="M05" totalsRowFunction="custom" dataDxfId="842" totalsRowDxfId="841" dataCellStyle="Pourcentage">
      <totalsRowFormula>IFERROR(SUMPRODUCT(INDIRECT("Installation_Chantier2[Prix total (HT)]"),Installation_Chantier2[M05]),0)</totalsRowFormula>
    </tableColumn>
    <tableColumn id="14" xr3:uid="{00000000-0010-0000-0200-00000E000000}" name="M06" totalsRowFunction="custom" dataDxfId="840" totalsRowDxfId="839" dataCellStyle="Pourcentage">
      <totalsRowFormula>IFERROR(SUMPRODUCT(INDIRECT("Installation_Chantier2[Prix total (HT)]"),Installation_Chantier2[M06]),0)</totalsRowFormula>
    </tableColumn>
    <tableColumn id="15" xr3:uid="{00000000-0010-0000-0200-00000F000000}" name="M07" totalsRowFunction="custom" dataDxfId="838" totalsRowDxfId="837" dataCellStyle="Pourcentage">
      <totalsRowFormula>IFERROR(SUMPRODUCT(INDIRECT("Installation_Chantier2[Prix total (HT)]"),Installation_Chantier2[M07]),0)</totalsRowFormula>
    </tableColumn>
    <tableColumn id="16" xr3:uid="{00000000-0010-0000-0200-000010000000}" name="M08" totalsRowFunction="custom" dataDxfId="836" totalsRowDxfId="835" dataCellStyle="Pourcentage">
      <totalsRowFormula>IFERROR(SUMPRODUCT(INDIRECT("Installation_Chantier2[Prix total (HT)]"),Installation_Chantier2[M08]),0)</totalsRowFormula>
    </tableColumn>
    <tableColumn id="17" xr3:uid="{00000000-0010-0000-0200-000011000000}" name="M09" totalsRowFunction="custom" dataDxfId="834" totalsRowDxfId="833" dataCellStyle="Pourcentage">
      <totalsRowFormula>IFERROR(SUMPRODUCT(INDIRECT("Installation_Chantier2[Prix total (HT)]"),Installation_Chantier2[M09]),0)</totalsRowFormula>
    </tableColumn>
    <tableColumn id="18" xr3:uid="{00000000-0010-0000-0200-000012000000}" name="M10" totalsRowFunction="custom" dataDxfId="832" totalsRowDxfId="831" dataCellStyle="Pourcentage">
      <totalsRowFormula>IFERROR(SUMPRODUCT(INDIRECT("Installation_Chantier2[Prix total (HT)]"),Installation_Chantier2[M10]),0)</totalsRowFormula>
    </tableColumn>
    <tableColumn id="19" xr3:uid="{00000000-0010-0000-0200-000013000000}" name="M11" totalsRowFunction="custom" dataDxfId="830" totalsRowDxfId="829" dataCellStyle="Pourcentage">
      <totalsRowFormula>IFERROR(SUMPRODUCT(INDIRECT("Installation_Chantier2[Prix total (HT)]"),Installation_Chantier2[M11]),0)</totalsRowFormula>
    </tableColumn>
    <tableColumn id="20" xr3:uid="{00000000-0010-0000-0200-000014000000}" name="M12" totalsRowFunction="custom" dataDxfId="828" totalsRowDxfId="827" dataCellStyle="Pourcentage">
      <totalsRowFormula>IFERROR(SUMPRODUCT(INDIRECT("Installation_Chantier2[Prix total (HT)]"),Installation_Chantier2[M12]),0)</totalsRowFormula>
    </tableColumn>
    <tableColumn id="21" xr3:uid="{00000000-0010-0000-0200-000015000000}" name="M13" totalsRowFunction="custom" dataDxfId="826" totalsRowDxfId="825" dataCellStyle="Pourcentage">
      <totalsRowFormula>IFERROR(SUMPRODUCT(INDIRECT("Installation_Chantier2[Prix total (HT)]"),Installation_Chantier2[M13]),0)</totalsRowFormula>
    </tableColumn>
    <tableColumn id="22" xr3:uid="{00000000-0010-0000-0200-000016000000}" name="M14" totalsRowFunction="custom" dataDxfId="824" totalsRowDxfId="823" dataCellStyle="Pourcentage">
      <totalsRowFormula>IFERROR(SUMPRODUCT(INDIRECT("Installation_Chantier2[Prix total (HT)]"),Installation_Chantier2[M14]),0)</totalsRowFormula>
    </tableColumn>
    <tableColumn id="23" xr3:uid="{00000000-0010-0000-0200-000017000000}" name="M15" totalsRowFunction="custom" dataDxfId="822" totalsRowDxfId="821" dataCellStyle="Pourcentage">
      <totalsRowFormula>IFERROR(SUMPRODUCT(INDIRECT("Installation_Chantier2[Prix total (HT)]"),Installation_Chantier2[M15]),0)</totalsRowFormula>
    </tableColumn>
    <tableColumn id="24" xr3:uid="{00000000-0010-0000-0200-000018000000}" name="M16" totalsRowFunction="custom" dataDxfId="820" totalsRowDxfId="819" dataCellStyle="Pourcentage">
      <totalsRowFormula>IFERROR(SUMPRODUCT(INDIRECT("Installation_Chantier2[Prix total (HT)]"),Installation_Chantier2[M16]),0)</totalsRowFormula>
    </tableColumn>
    <tableColumn id="25" xr3:uid="{00000000-0010-0000-0200-000019000000}" name="M17" totalsRowFunction="custom" dataDxfId="818" totalsRowDxfId="817" dataCellStyle="Pourcentage">
      <totalsRowFormula>IFERROR(SUMPRODUCT(INDIRECT("Installation_Chantier2[Prix total (HT)]"),Installation_Chantier2[M17]),0)</totalsRowFormula>
    </tableColumn>
    <tableColumn id="26" xr3:uid="{00000000-0010-0000-0200-00001A000000}" name="M18" totalsRowFunction="custom" dataDxfId="816" totalsRowDxfId="815" dataCellStyle="Pourcentage">
      <totalsRowFormula>IFERROR(SUMPRODUCT(INDIRECT("Installation_Chantier2[Prix total (HT)]"),Installation_Chantier2[M18]),0)</totalsRowFormula>
    </tableColumn>
    <tableColumn id="27" xr3:uid="{00000000-0010-0000-0200-00001B000000}" name="M19" totalsRowFunction="custom" dataDxfId="814" totalsRowDxfId="813" dataCellStyle="Pourcentage">
      <totalsRowFormula>IFERROR(SUMPRODUCT(INDIRECT("Installation_Chantier2[Prix total (HT)]"),Installation_Chantier2[M19]),0)</totalsRowFormula>
    </tableColumn>
    <tableColumn id="28" xr3:uid="{00000000-0010-0000-0200-00001C000000}" name="M20" totalsRowFunction="custom" dataDxfId="812" totalsRowDxfId="811" dataCellStyle="Pourcentage">
      <totalsRowFormula>IFERROR(SUMPRODUCT(INDIRECT("Installation_Chantier2[Prix total (HT)]"),Installation_Chantier2[M20]),0)</totalsRowFormula>
    </tableColumn>
    <tableColumn id="29" xr3:uid="{00000000-0010-0000-0200-00001D000000}" name="M21" totalsRowFunction="custom" dataDxfId="810" totalsRowDxfId="809" dataCellStyle="Pourcentage">
      <totalsRowFormula>IFERROR(SUMPRODUCT(INDIRECT("Installation_Chantier2[Prix total (HT)]"),Installation_Chantier2[M21]),0)</totalsRowFormula>
    </tableColumn>
    <tableColumn id="30" xr3:uid="{00000000-0010-0000-0200-00001E000000}" name="M22" totalsRowFunction="custom" dataDxfId="808" totalsRowDxfId="807" dataCellStyle="Pourcentage">
      <totalsRowFormula>IFERROR(SUMPRODUCT(INDIRECT("Installation_Chantier2[Prix total (HT)]"),Installation_Chantier2[M22]),0)</totalsRowFormula>
    </tableColumn>
    <tableColumn id="31" xr3:uid="{00000000-0010-0000-0200-00001F000000}" name="M23" totalsRowFunction="custom" dataDxfId="806" totalsRowDxfId="805" dataCellStyle="Pourcentage">
      <totalsRowFormula>IFERROR(SUMPRODUCT(INDIRECT("Installation_Chantier2[Prix total (HT)]"),Installation_Chantier2[M23]),0)</totalsRowFormula>
    </tableColumn>
    <tableColumn id="32" xr3:uid="{00000000-0010-0000-0200-000020000000}" name="M24" totalsRowFunction="custom" dataDxfId="804" totalsRowDxfId="803" dataCellStyle="Pourcentage">
      <totalsRowFormula>IFERROR(SUMPRODUCT(INDIRECT("Installation_Chantier2[Prix total (HT)]"),Installation_Chantier2[M24]),0)</totalsRow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D2CF06B-85A5-4FA5-925E-2B13EE21984A}" name="Achat18" displayName="Achat18" ref="B3:V141" totalsRowCount="1" headerRowDxfId="802" dataDxfId="801" totalsRowDxfId="800">
  <autoFilter ref="B3:V140" xr:uid="{00000000-0009-0000-0100-000003000000}"/>
  <tableColumns count="21">
    <tableColumn id="1" xr3:uid="{C6B878CF-FEAC-48AD-A180-F22EF01D757A}" name="N°" dataDxfId="799" totalsRowDxfId="798"/>
    <tableColumn id="3" xr3:uid="{6BC3B3CF-4F3E-497D-8C71-52082D3A2C7D}" name="Description" dataDxfId="797" totalsRowDxfId="796"/>
    <tableColumn id="2" xr3:uid="{2477968B-987D-4B94-BFA7-107153966095}" name="Référence" dataDxfId="795" totalsRowDxfId="794"/>
    <tableColumn id="4" xr3:uid="{5E071D67-18FF-4EC3-A48F-D7B55C1B5E4B}" name="U" dataDxfId="793" totalsRowDxfId="792"/>
    <tableColumn id="5" xr3:uid="{886D6C2B-2720-47D9-AAD1-8B1C7F88C0A5}" name="Qté" dataDxfId="791" totalsRowDxfId="790" dataCellStyle="Milliers [0]" totalsRowCellStyle="Milliers [0]"/>
    <tableColumn id="6" xr3:uid="{D094028E-71EC-460D-9BD8-6D5A4A37BC99}" name="Prix unitaire (HT)" dataDxfId="789" totalsRowDxfId="788" dataCellStyle="Milliers">
      <calculatedColumnFormula>$A$3*A4</calculatedColumnFormula>
    </tableColumn>
    <tableColumn id="7" xr3:uid="{AAE0A683-068A-47CF-BCA9-E917F51FF825}" name="Prix total_x000a_  HD (HT)" totalsRowFunction="sum" dataDxfId="787" totalsRowDxfId="786" dataCellStyle="Milliers">
      <calculatedColumnFormula>Achat18[[#This Row],[Prix unitaire (HT)]]*Achat18[[#This Row],[Qté]]</calculatedColumnFormula>
    </tableColumn>
    <tableColumn id="34" xr3:uid="{C2C092E3-C374-44AF-8236-D01D93C75A2C}" name="Douane" dataDxfId="785" totalsRowDxfId="784" dataCellStyle="Milliers"/>
    <tableColumn id="35" xr3:uid="{DB7C0FB1-0299-4FE3-AE02-C60F03013DFB}" name="Prix total_x000a_Inc-Douane (1)" dataDxfId="783" totalsRowDxfId="782" dataCellStyle="Milliers">
      <calculatedColumnFormula>Achat18[[#This Row],[Prix total
  HD (HT)]]+Achat18[[#This Row],[Douane]]</calculatedColumnFormula>
    </tableColumn>
    <tableColumn id="8" xr3:uid="{569787F9-E7EF-4BD0-AD02-F130E6222913}" name="Réal/Prév (2/1)" dataDxfId="781" totalsRowDxfId="780"/>
    <tableColumn id="33" xr3:uid="{E7FC38B8-9138-4814-ACDE-8A9CF5848EE0}" name="ACHAT " totalsRowFunction="sum" dataDxfId="779" totalsRowDxfId="778" dataCellStyle="Pourcentage">
      <calculatedColumnFormula>SUM(#REF!)</calculatedColumnFormula>
    </tableColumn>
    <tableColumn id="9" xr3:uid="{0607A0D7-07E1-4DD0-9B28-F92547771D4B}" name="1er Verst" totalsRowFunction="custom" dataDxfId="777" totalsRowDxfId="776" dataCellStyle="Milliers">
      <totalsRowFormula>IFERROR(SUMPRODUCT(INDIRECT("Achat[Prix total
Inc-Douane]"),Achat18[1er Verst]),0)</totalsRowFormula>
    </tableColumn>
    <tableColumn id="10" xr3:uid="{386CB39E-D8C2-4142-A0B7-E1F2D2BE7CBC}" name="2e Verst" totalsRowFunction="custom" dataDxfId="775" totalsRowDxfId="774" dataCellStyle="Milliers">
      <totalsRowFormula>IFERROR(SUMPRODUCT(INDIRECT("Achat[Prix total
Inc-Douane]"),Achat18[2e Verst]),0)</totalsRowFormula>
    </tableColumn>
    <tableColumn id="11" xr3:uid="{B00B5197-E628-4E9B-A621-60750355EE7D}" name="3e Verst" totalsRowFunction="custom" dataDxfId="773" totalsRowDxfId="772" dataCellStyle="Pourcentage">
      <totalsRowFormula>IFERROR(SUMPRODUCT(INDIRECT("Achat[Prix total
Inc-Douane]"),Achat18[3e Verst]),0)</totalsRowFormula>
    </tableColumn>
    <tableColumn id="12" xr3:uid="{97BAA9D8-8F8D-43CF-A4E1-AD14D81763EC}" name="4e Verst" totalsRowFunction="custom" dataDxfId="771" totalsRowDxfId="770" dataCellStyle="Pourcentage">
      <totalsRowFormula>IFERROR(SUMPRODUCT(INDIRECT("Achat[Prix total
Inc-Douane]"),Achat18[4e Verst]),0)</totalsRowFormula>
    </tableColumn>
    <tableColumn id="13" xr3:uid="{AFE91E16-D113-48A8-9253-1030AAB8E0BE}" name="5e Verst" totalsRowFunction="custom" dataDxfId="769" totalsRowDxfId="768" dataCellStyle="Pourcentage">
      <totalsRowFormula>IFERROR(SUMPRODUCT(INDIRECT("Achat[Prix total
Inc-Douane]"),Achat18[5e Verst]),0)</totalsRowFormula>
    </tableColumn>
    <tableColumn id="14" xr3:uid="{E670F89B-3658-44A5-A5AA-DBDA357FCB37}" name="6e Verst" totalsRowFunction="custom" dataDxfId="767" totalsRowDxfId="766" dataCellStyle="Pourcentage">
      <totalsRowFormula>IFERROR(SUMPRODUCT(INDIRECT("Achat[Prix total
Inc-Douane]"),Achat18[6e Verst]),0)</totalsRowFormula>
    </tableColumn>
    <tableColumn id="15" xr3:uid="{FE444BD4-F8E1-48FD-B8C5-4E305919043A}" name="7e Verst" totalsRowFunction="custom" dataDxfId="765" totalsRowDxfId="764" dataCellStyle="Pourcentage">
      <totalsRowFormula>IFERROR(SUMPRODUCT(INDIRECT("Achat[Prix total
Inc-Douane]"),Achat18[7e Verst]),0)</totalsRowFormula>
    </tableColumn>
    <tableColumn id="16" xr3:uid="{CBE85E7F-CFF7-4E46-94AC-CB47CDFD5896}" name="8e Verst" totalsRowFunction="custom" dataDxfId="763" totalsRowDxfId="762" dataCellStyle="Pourcentage">
      <totalsRowFormula>IFERROR(SUMPRODUCT(INDIRECT("Achat[Prix total
Inc-Douane]"),Achat18[8e Verst]),0)</totalsRowFormula>
    </tableColumn>
    <tableColumn id="17" xr3:uid="{6787D5FF-7CD6-4FCA-BC49-6DAB1B4205F6}" name="9e Verst" totalsRowFunction="custom" dataDxfId="761" totalsRowDxfId="760" dataCellStyle="Pourcentage">
      <totalsRowFormula>IFERROR(SUMPRODUCT(INDIRECT("Achat[Prix total
Inc-Douane]"),Achat18[9e Verst]),0)</totalsRowFormula>
    </tableColumn>
    <tableColumn id="18" xr3:uid="{7B731A3E-9187-4A70-9016-E15CCA3BB41C}" name="10e Verst" totalsRowFunction="custom" dataDxfId="759" totalsRowDxfId="758" dataCellStyle="Pourcentage">
      <totalsRowFormula>IFERROR(SUMPRODUCT(INDIRECT("Achat[Prix total
Inc-Douane]"),Achat18[10e Verst]),0)</totalsRow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Sous_traitance" displayName="Sous_traitance" ref="A2:AF46" totalsRowCount="1" headerRowDxfId="757" dataDxfId="756" totalsRowDxfId="755">
  <autoFilter ref="A2:AF45" xr:uid="{00000000-0009-0000-0100-000008000000}"/>
  <tableColumns count="32">
    <tableColumn id="21" xr3:uid="{00000000-0010-0000-0400-000015000000}" name="N°" dataDxfId="754" totalsRowDxfId="753"/>
    <tableColumn id="1" xr3:uid="{00000000-0010-0000-0400-000001000000}" name="Description" dataDxfId="752" totalsRowDxfId="751"/>
    <tableColumn id="30" xr3:uid="{00000000-0010-0000-0400-00001E000000}" name="Unité" dataDxfId="750" totalsRowDxfId="749"/>
    <tableColumn id="31" xr3:uid="{00000000-0010-0000-0400-00001F000000}" name="Qté" dataDxfId="748" totalsRowDxfId="747" dataCellStyle="Milliers"/>
    <tableColumn id="32" xr3:uid="{00000000-0010-0000-0400-000020000000}" name="Prix unitaire" dataDxfId="746" totalsRowDxfId="745" dataCellStyle="Milliers">
      <calculatedColumnFormula>4*105000</calculatedColumnFormula>
    </tableColumn>
    <tableColumn id="2" xr3:uid="{00000000-0010-0000-0400-000002000000}" name="Prix total" totalsRowFunction="sum" dataDxfId="744" totalsRowDxfId="743" dataCellStyle="Milliers">
      <calculatedColumnFormula>Sous_traitance[[#This Row],[Qté]]*Sous_traitance[[#This Row],[Prix unitaire]]</calculatedColumnFormula>
    </tableColumn>
    <tableColumn id="22" xr3:uid="{00000000-0010-0000-0400-000016000000}" name="Commentaire" dataDxfId="742" totalsRowDxfId="741" dataCellStyle="Milliers"/>
    <tableColumn id="29" xr3:uid="{00000000-0010-0000-0400-00001D000000}" name="Cumule (%)" totalsRowLabel="TOTAL (FCFA) / jour - HT" dataDxfId="740" totalsRowDxfId="739" dataCellStyle="Pourcentage">
      <calculatedColumnFormula>SUM(Sous_traitance[[#This Row],[J01]:[J24]])</calculatedColumnFormula>
    </tableColumn>
    <tableColumn id="3" xr3:uid="{00000000-0010-0000-0400-000003000000}" name="J01" totalsRowFunction="custom" dataDxfId="738" totalsRowDxfId="737" dataCellStyle="Pourcentage">
      <totalsRowFormula>IFERROR(SUMPRODUCT(INDIRECT("Sous_traitance[Prix total]"),Sous_traitance[J01]),0)</totalsRowFormula>
    </tableColumn>
    <tableColumn id="4" xr3:uid="{00000000-0010-0000-0400-000004000000}" name="J02" totalsRowFunction="custom" dataDxfId="736" totalsRowDxfId="735" dataCellStyle="Pourcentage">
      <totalsRowFormula>IFERROR(SUMPRODUCT(INDIRECT("Sous_traitance[Prix total]"),Sous_traitance[J02]),0)</totalsRowFormula>
    </tableColumn>
    <tableColumn id="5" xr3:uid="{00000000-0010-0000-0400-000005000000}" name="J03" totalsRowFunction="custom" dataDxfId="734" totalsRowDxfId="733" dataCellStyle="Pourcentage">
      <totalsRowFormula>IFERROR(SUMPRODUCT(INDIRECT("Sous_traitance[Prix total]"),Sous_traitance[J03]),0)</totalsRowFormula>
    </tableColumn>
    <tableColumn id="6" xr3:uid="{00000000-0010-0000-0400-000006000000}" name="J04" totalsRowFunction="custom" dataDxfId="732" totalsRowDxfId="731" dataCellStyle="Pourcentage">
      <totalsRowFormula>IFERROR(SUMPRODUCT(INDIRECT("Sous_traitance[Prix total]"),Sous_traitance[J04]),0)</totalsRowFormula>
    </tableColumn>
    <tableColumn id="7" xr3:uid="{00000000-0010-0000-0400-000007000000}" name="J05" totalsRowFunction="custom" dataDxfId="730" totalsRowDxfId="729" dataCellStyle="Pourcentage">
      <totalsRowFormula>IFERROR(SUMPRODUCT(INDIRECT("Sous_traitance[Prix total]"),Sous_traitance[J05]),0)</totalsRowFormula>
    </tableColumn>
    <tableColumn id="8" xr3:uid="{00000000-0010-0000-0400-000008000000}" name="J06" totalsRowFunction="custom" dataDxfId="728" totalsRowDxfId="727" dataCellStyle="Pourcentage">
      <totalsRowFormula>IFERROR(SUMPRODUCT(INDIRECT("Sous_traitance[Prix total]"),Sous_traitance[J06]),0)</totalsRowFormula>
    </tableColumn>
    <tableColumn id="9" xr3:uid="{00000000-0010-0000-0400-000009000000}" name="J07" totalsRowFunction="custom" dataDxfId="726" totalsRowDxfId="725" dataCellStyle="Pourcentage">
      <totalsRowFormula>IFERROR(SUMPRODUCT(INDIRECT("Sous_traitance[Prix total]"),Sous_traitance[J07]),0)</totalsRowFormula>
    </tableColumn>
    <tableColumn id="10" xr3:uid="{00000000-0010-0000-0400-00000A000000}" name="J08" totalsRowFunction="custom" dataDxfId="724" totalsRowDxfId="723" dataCellStyle="Pourcentage">
      <totalsRowFormula>IFERROR(SUMPRODUCT(INDIRECT("Sous_traitance[Prix total]"),Sous_traitance[J08]),0)</totalsRowFormula>
    </tableColumn>
    <tableColumn id="11" xr3:uid="{00000000-0010-0000-0400-00000B000000}" name="J09" totalsRowFunction="custom" dataDxfId="722" totalsRowDxfId="721" dataCellStyle="Pourcentage">
      <totalsRowFormula>IFERROR(SUMPRODUCT(INDIRECT("Sous_traitance[Prix total]"),Sous_traitance[J09]),0)</totalsRowFormula>
    </tableColumn>
    <tableColumn id="12" xr3:uid="{00000000-0010-0000-0400-00000C000000}" name="J10" totalsRowFunction="custom" dataDxfId="720" totalsRowDxfId="719" dataCellStyle="Pourcentage">
      <totalsRowFormula>IFERROR(SUMPRODUCT(INDIRECT("Sous_traitance[Prix total]"),Sous_traitance[J10]),0)</totalsRowFormula>
    </tableColumn>
    <tableColumn id="13" xr3:uid="{00000000-0010-0000-0400-00000D000000}" name="J11" totalsRowFunction="custom" dataDxfId="718" totalsRowDxfId="717" dataCellStyle="Pourcentage">
      <totalsRowFormula>IFERROR(SUMPRODUCT(INDIRECT("Sous_traitance[Prix total]"),Sous_traitance[J11]),0)</totalsRowFormula>
    </tableColumn>
    <tableColumn id="14" xr3:uid="{00000000-0010-0000-0400-00000E000000}" name="J12" totalsRowFunction="custom" dataDxfId="716" totalsRowDxfId="715" dataCellStyle="Pourcentage">
      <totalsRowFormula>IFERROR(SUMPRODUCT(INDIRECT("Sous_traitance[Prix total]"),Sous_traitance[J12]),0)</totalsRowFormula>
    </tableColumn>
    <tableColumn id="15" xr3:uid="{00000000-0010-0000-0400-00000F000000}" name="J13" totalsRowFunction="custom" dataDxfId="714" totalsRowDxfId="713" dataCellStyle="Pourcentage">
      <totalsRowFormula>IFERROR(SUMPRODUCT(INDIRECT("Sous_traitance[Prix total]"),Sous_traitance[J13]),0)</totalsRowFormula>
    </tableColumn>
    <tableColumn id="16" xr3:uid="{00000000-0010-0000-0400-000010000000}" name="J14" totalsRowFunction="custom" dataDxfId="712" totalsRowDxfId="711" dataCellStyle="Pourcentage">
      <totalsRowFormula>IFERROR(SUMPRODUCT(INDIRECT("Sous_traitance[Prix total]"),Sous_traitance[J14]),0)</totalsRowFormula>
    </tableColumn>
    <tableColumn id="17" xr3:uid="{00000000-0010-0000-0400-000011000000}" name="J15" totalsRowFunction="custom" dataDxfId="710" totalsRowDxfId="709" dataCellStyle="Pourcentage">
      <totalsRowFormula>IFERROR(SUMPRODUCT(INDIRECT("Sous_traitance[Prix total]"),Sous_traitance[J15]),0)</totalsRowFormula>
    </tableColumn>
    <tableColumn id="18" xr3:uid="{00000000-0010-0000-0400-000012000000}" name="J16" totalsRowFunction="custom" dataDxfId="708" totalsRowDxfId="707" dataCellStyle="Pourcentage">
      <totalsRowFormula>IFERROR(SUMPRODUCT(INDIRECT("Sous_traitance[Prix total]"),Sous_traitance[J16]),0)</totalsRowFormula>
    </tableColumn>
    <tableColumn id="19" xr3:uid="{00000000-0010-0000-0400-000013000000}" name="J17" totalsRowFunction="custom" dataDxfId="706" totalsRowDxfId="705" dataCellStyle="Pourcentage">
      <totalsRowFormula>IFERROR(SUMPRODUCT(INDIRECT("Sous_traitance[Prix total]"),Sous_traitance[J17]),0)</totalsRowFormula>
    </tableColumn>
    <tableColumn id="20" xr3:uid="{00000000-0010-0000-0400-000014000000}" name="J18" totalsRowFunction="custom" dataDxfId="704" totalsRowDxfId="703" dataCellStyle="Pourcentage">
      <totalsRowFormula>IFERROR(SUMPRODUCT(INDIRECT("Sous_traitance[Prix total]"),Sous_traitance[J18]),0)</totalsRowFormula>
    </tableColumn>
    <tableColumn id="23" xr3:uid="{00000000-0010-0000-0400-000017000000}" name="J19" totalsRowFunction="custom" dataDxfId="702" totalsRowDxfId="701" dataCellStyle="Pourcentage">
      <totalsRowFormula>IFERROR(SUMPRODUCT(INDIRECT("Sous_traitance[Prix total]"),Sous_traitance[J19]),0)</totalsRowFormula>
    </tableColumn>
    <tableColumn id="24" xr3:uid="{00000000-0010-0000-0400-000018000000}" name="J20" totalsRowFunction="custom" dataDxfId="700" totalsRowDxfId="699" dataCellStyle="Pourcentage">
      <totalsRowFormula>IFERROR(SUMPRODUCT(INDIRECT("Sous_traitance[Prix total]"),Sous_traitance[J20]),0)</totalsRowFormula>
    </tableColumn>
    <tableColumn id="25" xr3:uid="{00000000-0010-0000-0400-000019000000}" name="J21" totalsRowFunction="custom" dataDxfId="698" totalsRowDxfId="697" dataCellStyle="Pourcentage">
      <totalsRowFormula>IFERROR(SUMPRODUCT(INDIRECT("Sous_traitance[Prix total]"),Sous_traitance[J21]),0)</totalsRowFormula>
    </tableColumn>
    <tableColumn id="26" xr3:uid="{00000000-0010-0000-0400-00001A000000}" name="J22" totalsRowFunction="custom" dataDxfId="696" totalsRowDxfId="695" dataCellStyle="Pourcentage">
      <totalsRowFormula>IFERROR(SUMPRODUCT(INDIRECT("Sous_traitance[Prix total]"),Sous_traitance[J22]),0)</totalsRowFormula>
    </tableColumn>
    <tableColumn id="27" xr3:uid="{00000000-0010-0000-0400-00001B000000}" name="J23" totalsRowFunction="custom" dataDxfId="694" totalsRowDxfId="693" dataCellStyle="Pourcentage">
      <totalsRowFormula>IFERROR(SUMPRODUCT(INDIRECT("Sous_traitance[Prix total]"),Sous_traitance[J23]),0)</totalsRowFormula>
    </tableColumn>
    <tableColumn id="28" xr3:uid="{00000000-0010-0000-0400-00001C000000}" name="J24" totalsRowFunction="custom" dataDxfId="692" totalsRowDxfId="691" dataCellStyle="Pourcentage">
      <totalsRowFormula>IFERROR(SUMPRODUCT(INDIRECT("Sous_traitance[Prix total]"),Sous_traitance[J24]),0)</totalsRow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Consommable" displayName="Consommable" ref="A2:AF12" totalsRowCount="1" headerRowDxfId="690" dataDxfId="689" totalsRowDxfId="688">
  <autoFilter ref="A2:AF11" xr:uid="{00000000-0009-0000-0100-000004000000}"/>
  <tableColumns count="32">
    <tableColumn id="25" xr3:uid="{00000000-0010-0000-0500-000019000000}" name="N°" dataDxfId="687" totalsRowDxfId="686"/>
    <tableColumn id="3" xr3:uid="{00000000-0010-0000-0500-000003000000}" name="Description" dataDxfId="685" totalsRowDxfId="684"/>
    <tableColumn id="2" xr3:uid="{00000000-0010-0000-0500-000002000000}" name="U" dataDxfId="683" totalsRowDxfId="682"/>
    <tableColumn id="5" xr3:uid="{00000000-0010-0000-0500-000005000000}" name="Période" dataDxfId="681" totalsRowDxfId="680"/>
    <tableColumn id="4" xr3:uid="{00000000-0010-0000-0500-000004000000}" name="Qté par_x000a_Période" dataDxfId="679" totalsRowDxfId="678" dataCellStyle="Milliers"/>
    <tableColumn id="26" xr3:uid="{00000000-0010-0000-0500-00001A000000}" name="Prix unitaire" dataDxfId="677" totalsRowDxfId="676" dataCellStyle="Milliers"/>
    <tableColumn id="6" xr3:uid="{00000000-0010-0000-0500-000006000000}" name="Prix Total /Projet" totalsRowFunction="sum" dataDxfId="675" totalsRowDxfId="674" dataCellStyle="Milliers">
      <calculatedColumnFormula>+Consommable[[#This Row],[Prix unitaire]]*Consommable[[#This Row],[Qté par
Période]]</calculatedColumnFormula>
    </tableColumn>
    <tableColumn id="28" xr3:uid="{00000000-0010-0000-0500-00001C000000}" name="Commentaire" totalsRowLabel="TOTAL (FCFA) / jour - HT" dataDxfId="673" totalsRowDxfId="672" dataCellStyle="Milliers"/>
    <tableColumn id="7" xr3:uid="{00000000-0010-0000-0500-000007000000}" name="J01" totalsRowFunction="custom" dataDxfId="671" totalsRowDxfId="670" dataCellStyle="Pourcentage">
      <totalsRowFormula>IFERROR(SUMPRODUCT(INDIRECT("Consommable[Prix Total /Projet]"),Consommable[J01]),0)</totalsRowFormula>
    </tableColumn>
    <tableColumn id="8" xr3:uid="{00000000-0010-0000-0500-000008000000}" name="J02" totalsRowFunction="custom" dataDxfId="669" totalsRowDxfId="668" dataCellStyle="Pourcentage">
      <totalsRowFormula>IFERROR(SUMPRODUCT(INDIRECT("Consommable[Prix Total /Projet]"),Consommable[J02]),0)</totalsRowFormula>
    </tableColumn>
    <tableColumn id="9" xr3:uid="{00000000-0010-0000-0500-000009000000}" name="J03" totalsRowFunction="custom" dataDxfId="667" totalsRowDxfId="666" dataCellStyle="Pourcentage">
      <totalsRowFormula>IFERROR(SUMPRODUCT(INDIRECT("Consommable[Prix Total /Projet]"),Consommable[J03]),0)</totalsRowFormula>
    </tableColumn>
    <tableColumn id="10" xr3:uid="{00000000-0010-0000-0500-00000A000000}" name="J04" totalsRowFunction="custom" dataDxfId="665" totalsRowDxfId="664" dataCellStyle="Pourcentage">
      <totalsRowFormula>IFERROR(SUMPRODUCT(INDIRECT("Consommable[Prix Total /Projet]"),Consommable[J04]),0)</totalsRowFormula>
    </tableColumn>
    <tableColumn id="11" xr3:uid="{00000000-0010-0000-0500-00000B000000}" name="J05" totalsRowFunction="custom" dataDxfId="663" totalsRowDxfId="662" dataCellStyle="Pourcentage">
      <totalsRowFormula>IFERROR(SUMPRODUCT(INDIRECT("Consommable[Prix Total /Projet]"),Consommable[J05]),0)</totalsRowFormula>
    </tableColumn>
    <tableColumn id="12" xr3:uid="{00000000-0010-0000-0500-00000C000000}" name="J06" totalsRowFunction="custom" dataDxfId="661" totalsRowDxfId="660" dataCellStyle="Pourcentage">
      <totalsRowFormula>IFERROR(SUMPRODUCT(INDIRECT("Consommable[Prix Total /Projet]"),Consommable[J06]),0)</totalsRowFormula>
    </tableColumn>
    <tableColumn id="13" xr3:uid="{00000000-0010-0000-0500-00000D000000}" name="J07" totalsRowFunction="custom" dataDxfId="659" totalsRowDxfId="658" dataCellStyle="Pourcentage">
      <totalsRowFormula>IFERROR(SUMPRODUCT(INDIRECT("Consommable[Prix Total /Projet]"),Consommable[J07]),0)</totalsRowFormula>
    </tableColumn>
    <tableColumn id="14" xr3:uid="{00000000-0010-0000-0500-00000E000000}" name="J08" totalsRowFunction="custom" dataDxfId="657" totalsRowDxfId="656" dataCellStyle="Pourcentage">
      <totalsRowFormula>IFERROR(SUMPRODUCT(INDIRECT("Consommable[Prix Total /Projet]"),Consommable[J08]),0)</totalsRowFormula>
    </tableColumn>
    <tableColumn id="15" xr3:uid="{00000000-0010-0000-0500-00000F000000}" name="J09" totalsRowFunction="custom" dataDxfId="655" totalsRowDxfId="654" dataCellStyle="Pourcentage">
      <totalsRowFormula>IFERROR(SUMPRODUCT(INDIRECT("Consommable[Prix Total /Projet]"),Consommable[J09]),0)</totalsRowFormula>
    </tableColumn>
    <tableColumn id="16" xr3:uid="{00000000-0010-0000-0500-000010000000}" name="J10" totalsRowFunction="custom" dataDxfId="653" totalsRowDxfId="652" dataCellStyle="Pourcentage">
      <totalsRowFormula>IFERROR(SUMPRODUCT(INDIRECT("Consommable[Prix Total /Projet]"),Consommable[J10]),0)</totalsRowFormula>
    </tableColumn>
    <tableColumn id="17" xr3:uid="{00000000-0010-0000-0500-000011000000}" name="J11" totalsRowFunction="custom" dataDxfId="651" totalsRowDxfId="650" dataCellStyle="Pourcentage">
      <totalsRowFormula>IFERROR(SUMPRODUCT(INDIRECT("Consommable[Prix Total /Projet]"),Consommable[J11]),0)</totalsRowFormula>
    </tableColumn>
    <tableColumn id="18" xr3:uid="{00000000-0010-0000-0500-000012000000}" name="J12" totalsRowFunction="custom" dataDxfId="649" totalsRowDxfId="648" dataCellStyle="Pourcentage">
      <totalsRowFormula>IFERROR(SUMPRODUCT(INDIRECT("Consommable[Prix Total /Projet]"),Consommable[J12]),0)</totalsRowFormula>
    </tableColumn>
    <tableColumn id="19" xr3:uid="{00000000-0010-0000-0500-000013000000}" name="J13" totalsRowFunction="custom" dataDxfId="647" totalsRowDxfId="646" dataCellStyle="Pourcentage">
      <totalsRowFormula>IFERROR(SUMPRODUCT(INDIRECT("Consommable[Prix Total /Projet]"),Consommable[J13]),0)</totalsRowFormula>
    </tableColumn>
    <tableColumn id="20" xr3:uid="{00000000-0010-0000-0500-000014000000}" name="J14" totalsRowFunction="custom" dataDxfId="645" totalsRowDxfId="644" dataCellStyle="Pourcentage">
      <totalsRowFormula>IFERROR(SUMPRODUCT(INDIRECT("Consommable[Prix Total /Projet]"),Consommable[J14]),0)</totalsRowFormula>
    </tableColumn>
    <tableColumn id="21" xr3:uid="{00000000-0010-0000-0500-000015000000}" name="J15" totalsRowFunction="custom" dataDxfId="643" totalsRowDxfId="642" dataCellStyle="Pourcentage">
      <totalsRowFormula>IFERROR(SUMPRODUCT(INDIRECT("Consommable[Prix Total /Projet]"),Consommable[J15]),0)</totalsRowFormula>
    </tableColumn>
    <tableColumn id="22" xr3:uid="{00000000-0010-0000-0500-000016000000}" name="J16" totalsRowFunction="custom" dataDxfId="641" totalsRowDxfId="640" dataCellStyle="Pourcentage">
      <totalsRowFormula>IFERROR(SUMPRODUCT(INDIRECT("Consommable[Prix Total /Projet]"),Consommable[J16]),0)</totalsRowFormula>
    </tableColumn>
    <tableColumn id="23" xr3:uid="{00000000-0010-0000-0500-000017000000}" name="J17" totalsRowFunction="custom" dataDxfId="639" totalsRowDxfId="638" dataCellStyle="Pourcentage">
      <totalsRowFormula>IFERROR(SUMPRODUCT(INDIRECT("Consommable[Prix Total /Projet]"),Consommable[J17]),0)</totalsRowFormula>
    </tableColumn>
    <tableColumn id="24" xr3:uid="{00000000-0010-0000-0500-000018000000}" name="J18" totalsRowFunction="custom" dataDxfId="637" totalsRowDxfId="636" dataCellStyle="Pourcentage">
      <totalsRowFormula>IFERROR(SUMPRODUCT(INDIRECT("Consommable[Prix Total /Projet]"),Consommable[J18]),0)</totalsRowFormula>
    </tableColumn>
    <tableColumn id="29" xr3:uid="{00000000-0010-0000-0500-00001D000000}" name="J19" totalsRowFunction="custom" dataDxfId="635" totalsRowDxfId="634" dataCellStyle="Pourcentage">
      <totalsRowFormula>IFERROR(SUMPRODUCT(INDIRECT("Consommable[Prix Total /Projet]"),Consommable[J19]),0)</totalsRowFormula>
    </tableColumn>
    <tableColumn id="30" xr3:uid="{00000000-0010-0000-0500-00001E000000}" name="J20" totalsRowFunction="custom" dataDxfId="633" totalsRowDxfId="632" dataCellStyle="Pourcentage">
      <totalsRowFormula>IFERROR(SUMPRODUCT(INDIRECT("Consommable[Prix Total /Projet]"),Consommable[J20]),0)</totalsRowFormula>
    </tableColumn>
    <tableColumn id="31" xr3:uid="{00000000-0010-0000-0500-00001F000000}" name="J21" totalsRowFunction="custom" dataDxfId="631" totalsRowDxfId="630" dataCellStyle="Pourcentage">
      <totalsRowFormula>IFERROR(SUMPRODUCT(INDIRECT("Consommable[Prix Total /Projet]"),Consommable[J21]),0)</totalsRowFormula>
    </tableColumn>
    <tableColumn id="32" xr3:uid="{00000000-0010-0000-0500-000020000000}" name="J22" totalsRowFunction="custom" dataDxfId="629" totalsRowDxfId="628" dataCellStyle="Pourcentage">
      <totalsRowFormula>IFERROR(SUMPRODUCT(INDIRECT("Consommable[Prix Total /Projet]"),Consommable[J22]),0)</totalsRowFormula>
    </tableColumn>
    <tableColumn id="33" xr3:uid="{00000000-0010-0000-0500-000021000000}" name="J23" totalsRowFunction="custom" dataDxfId="627" totalsRowDxfId="626" dataCellStyle="Pourcentage">
      <totalsRowFormula>IFERROR(SUMPRODUCT(INDIRECT("Consommable[Prix Total /Projet]"),Consommable[J23]),0)</totalsRowFormula>
    </tableColumn>
    <tableColumn id="34" xr3:uid="{00000000-0010-0000-0500-000022000000}" name="J24" totalsRowFunction="custom" dataDxfId="625" totalsRowDxfId="624" dataCellStyle="Pourcentage">
      <totalsRowFormula>IFERROR(SUMPRODUCT(INDIRECT("Consommable[Prix Total /Projet]"),Consommable[J24]),0)</totalsRow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6000000}" name="Transport_de_matériel" displayName="Transport_de_matériel" ref="A2:AH11" totalsRowCount="1" headerRowDxfId="623" dataDxfId="622" totalsRowDxfId="621">
  <autoFilter ref="A2:AH10" xr:uid="{00000000-0009-0000-0100-000005000000}"/>
  <tableColumns count="34">
    <tableColumn id="1" xr3:uid="{00000000-0010-0000-0600-000001000000}" name="N°" dataDxfId="620" totalsRowDxfId="619"/>
    <tableColumn id="2" xr3:uid="{00000000-0010-0000-0600-000002000000}" name="Description" dataDxfId="618" totalsRowDxfId="617"/>
    <tableColumn id="23" xr3:uid="{00000000-0010-0000-0600-000017000000}" name="Départ" dataDxfId="616" totalsRowDxfId="615"/>
    <tableColumn id="24" xr3:uid="{00000000-0010-0000-0600-000018000000}" name="Destination" dataDxfId="614" totalsRowDxfId="613"/>
    <tableColumn id="28" xr3:uid="{00000000-0010-0000-0600-00001C000000}" name="Unité" dataDxfId="612" totalsRowDxfId="611"/>
    <tableColumn id="25" xr3:uid="{00000000-0010-0000-0600-000019000000}" name="Qté Total" dataDxfId="610" totalsRowDxfId="609" dataCellStyle="Milliers"/>
    <tableColumn id="31" xr3:uid="{00000000-0010-0000-0600-00001F000000}" name="Qté par _x000a_Voyage" dataDxfId="608" totalsRowDxfId="607" dataCellStyle="Milliers"/>
    <tableColumn id="29" xr3:uid="{00000000-0010-0000-0600-00001D000000}" name="N° de _x000a_voyage" dataDxfId="606" totalsRowDxfId="605" dataCellStyle="Milliers">
      <calculatedColumnFormula>IFERROR(ROUNDUP(Transport_de_matériel[[#This Row],[Qté Total]]/Transport_de_matériel[[#This Row],[Qté par 
Voyage]],0),0)</calculatedColumnFormula>
    </tableColumn>
    <tableColumn id="22" xr3:uid="{00000000-0010-0000-0600-000016000000}" name="Prix par_x000a_ voyage" totalsRowLabel="TOTAL (FCFA) / jour - HT" dataDxfId="604" totalsRowDxfId="603" dataCellStyle="Milliers"/>
    <tableColumn id="30" xr3:uid="{00000000-0010-0000-0600-00001E000000}" name="Prix Total" totalsRowFunction="sum" dataDxfId="602" totalsRowDxfId="601" dataCellStyle="Milliers">
      <calculatedColumnFormula>Transport_de_matériel[[#This Row],[N° de 
voyage]]*Transport_de_matériel[[#This Row],[Prix par
 voyage]]</calculatedColumnFormula>
    </tableColumn>
    <tableColumn id="4" xr3:uid="{00000000-0010-0000-0600-000004000000}" name="J01" totalsRowFunction="custom" dataDxfId="600" totalsRowDxfId="599" dataCellStyle="Pourcentage">
      <totalsRowFormula>SUMPRODUCT(Transport_de_matériel[Prix par
 voyage],Transport_de_matériel[J01])</totalsRowFormula>
    </tableColumn>
    <tableColumn id="5" xr3:uid="{00000000-0010-0000-0600-000005000000}" name="J02" totalsRowFunction="custom" dataDxfId="598" totalsRowDxfId="597" dataCellStyle="Pourcentage">
      <totalsRowFormula>SUMPRODUCT(Transport_de_matériel[Prix par
 voyage],Transport_de_matériel[J02])</totalsRowFormula>
    </tableColumn>
    <tableColumn id="6" xr3:uid="{00000000-0010-0000-0600-000006000000}" name="J03" totalsRowFunction="custom" dataDxfId="596" totalsRowDxfId="595" dataCellStyle="Pourcentage">
      <totalsRowFormula>SUMPRODUCT(Transport_de_matériel[Prix par
 voyage],Transport_de_matériel[J03])</totalsRowFormula>
    </tableColumn>
    <tableColumn id="7" xr3:uid="{00000000-0010-0000-0600-000007000000}" name="J04" totalsRowFunction="custom" dataDxfId="594" totalsRowDxfId="593" dataCellStyle="Pourcentage">
      <totalsRowFormula>SUMPRODUCT(Transport_de_matériel[Prix par
 voyage],Transport_de_matériel[J04])</totalsRowFormula>
    </tableColumn>
    <tableColumn id="8" xr3:uid="{00000000-0010-0000-0600-000008000000}" name="J05" totalsRowFunction="custom" dataDxfId="592" totalsRowDxfId="591" dataCellStyle="Pourcentage">
      <totalsRowFormula>SUMPRODUCT(Transport_de_matériel[Prix par
 voyage],Transport_de_matériel[J05])</totalsRowFormula>
    </tableColumn>
    <tableColumn id="9" xr3:uid="{00000000-0010-0000-0600-000009000000}" name="J06" totalsRowFunction="custom" dataDxfId="590" totalsRowDxfId="589" dataCellStyle="Pourcentage">
      <totalsRowFormula>SUMPRODUCT(Transport_de_matériel[Prix par
 voyage],Transport_de_matériel[J06])</totalsRowFormula>
    </tableColumn>
    <tableColumn id="10" xr3:uid="{00000000-0010-0000-0600-00000A000000}" name="J07" totalsRowFunction="custom" dataDxfId="588" totalsRowDxfId="587" dataCellStyle="Pourcentage">
      <totalsRowFormula>SUMPRODUCT(Transport_de_matériel[Prix par
 voyage],Transport_de_matériel[J07])</totalsRowFormula>
    </tableColumn>
    <tableColumn id="11" xr3:uid="{00000000-0010-0000-0600-00000B000000}" name="J08" totalsRowFunction="custom" dataDxfId="586" totalsRowDxfId="585" dataCellStyle="Pourcentage">
      <totalsRowFormula>SUMPRODUCT(Transport_de_matériel[Prix par
 voyage],Transport_de_matériel[J08])</totalsRowFormula>
    </tableColumn>
    <tableColumn id="12" xr3:uid="{00000000-0010-0000-0600-00000C000000}" name="J09" totalsRowFunction="custom" dataDxfId="584" totalsRowDxfId="583" dataCellStyle="Pourcentage">
      <totalsRowFormula>SUMPRODUCT(Transport_de_matériel[Prix par
 voyage],Transport_de_matériel[J09])</totalsRowFormula>
    </tableColumn>
    <tableColumn id="13" xr3:uid="{00000000-0010-0000-0600-00000D000000}" name="J10" totalsRowFunction="custom" dataDxfId="582" totalsRowDxfId="581" dataCellStyle="Pourcentage">
      <totalsRowFormula>SUMPRODUCT(Transport_de_matériel[Prix par
 voyage],Transport_de_matériel[J10])</totalsRowFormula>
    </tableColumn>
    <tableColumn id="14" xr3:uid="{00000000-0010-0000-0600-00000E000000}" name="J11" totalsRowFunction="custom" dataDxfId="580" totalsRowDxfId="579" dataCellStyle="Pourcentage">
      <totalsRowFormula>SUMPRODUCT(Transport_de_matériel[Prix par
 voyage],Transport_de_matériel[J11])</totalsRowFormula>
    </tableColumn>
    <tableColumn id="15" xr3:uid="{00000000-0010-0000-0600-00000F000000}" name="J12" totalsRowFunction="custom" dataDxfId="578" totalsRowDxfId="577" dataCellStyle="Pourcentage">
      <totalsRowFormula>SUMPRODUCT(Transport_de_matériel[Prix par
 voyage],Transport_de_matériel[J12])</totalsRowFormula>
    </tableColumn>
    <tableColumn id="16" xr3:uid="{00000000-0010-0000-0600-000010000000}" name="J13" totalsRowFunction="custom" dataDxfId="576" totalsRowDxfId="575" dataCellStyle="Pourcentage">
      <totalsRowFormula>SUMPRODUCT(Transport_de_matériel[Prix par
 voyage],Transport_de_matériel[J13])</totalsRowFormula>
    </tableColumn>
    <tableColumn id="17" xr3:uid="{00000000-0010-0000-0600-000011000000}" name="J14" totalsRowFunction="custom" dataDxfId="574" totalsRowDxfId="573" dataCellStyle="Pourcentage">
      <totalsRowFormula>SUMPRODUCT(Transport_de_matériel[Prix par
 voyage],Transport_de_matériel[J14])</totalsRowFormula>
    </tableColumn>
    <tableColumn id="18" xr3:uid="{00000000-0010-0000-0600-000012000000}" name="J15" totalsRowFunction="custom" dataDxfId="572" totalsRowDxfId="571" dataCellStyle="Pourcentage">
      <totalsRowFormula>SUMPRODUCT(Transport_de_matériel[Prix par
 voyage],Transport_de_matériel[J15])</totalsRowFormula>
    </tableColumn>
    <tableColumn id="19" xr3:uid="{00000000-0010-0000-0600-000013000000}" name="J16" totalsRowFunction="custom" dataDxfId="570" totalsRowDxfId="569" dataCellStyle="Pourcentage">
      <totalsRowFormula>SUMPRODUCT(Transport_de_matériel[Prix par
 voyage],Transport_de_matériel[J16])</totalsRowFormula>
    </tableColumn>
    <tableColumn id="20" xr3:uid="{00000000-0010-0000-0600-000014000000}" name="J17" totalsRowFunction="custom" dataDxfId="568" totalsRowDxfId="567" dataCellStyle="Pourcentage">
      <totalsRowFormula>SUMPRODUCT(Transport_de_matériel[Prix par
 voyage],Transport_de_matériel[J17])</totalsRowFormula>
    </tableColumn>
    <tableColumn id="21" xr3:uid="{00000000-0010-0000-0600-000015000000}" name="J18" totalsRowFunction="custom" dataDxfId="566" totalsRowDxfId="565" dataCellStyle="Pourcentage">
      <totalsRowFormula>SUMPRODUCT(Transport_de_matériel[Prix par
 voyage],Transport_de_matériel[J18])</totalsRowFormula>
    </tableColumn>
    <tableColumn id="32" xr3:uid="{00000000-0010-0000-0600-000020000000}" name="J19" totalsRowFunction="custom" dataDxfId="564" totalsRowDxfId="563" dataCellStyle="Pourcentage">
      <totalsRowFormula>SUMPRODUCT(Transport_de_matériel[Prix par
 voyage],Transport_de_matériel[J19])</totalsRowFormula>
    </tableColumn>
    <tableColumn id="33" xr3:uid="{00000000-0010-0000-0600-000021000000}" name="J20" totalsRowFunction="custom" dataDxfId="562" totalsRowDxfId="561" dataCellStyle="Pourcentage">
      <totalsRowFormula>SUMPRODUCT(Transport_de_matériel[Prix par
 voyage],Transport_de_matériel[J20])</totalsRowFormula>
    </tableColumn>
    <tableColumn id="34" xr3:uid="{00000000-0010-0000-0600-000022000000}" name="J21" totalsRowFunction="custom" dataDxfId="560" totalsRowDxfId="559" dataCellStyle="Pourcentage">
      <totalsRowFormula>SUMPRODUCT(Transport_de_matériel[Prix par
 voyage],Transport_de_matériel[J21])</totalsRowFormula>
    </tableColumn>
    <tableColumn id="35" xr3:uid="{00000000-0010-0000-0600-000023000000}" name="J22" totalsRowFunction="custom" dataDxfId="558" totalsRowDxfId="557" dataCellStyle="Pourcentage">
      <totalsRowFormula>SUMPRODUCT(Transport_de_matériel[Prix par
 voyage],Transport_de_matériel[J22])</totalsRowFormula>
    </tableColumn>
    <tableColumn id="36" xr3:uid="{00000000-0010-0000-0600-000024000000}" name="J23" totalsRowFunction="custom" dataDxfId="556" totalsRowDxfId="555" dataCellStyle="Pourcentage">
      <totalsRowFormula>SUMPRODUCT(Transport_de_matériel[Prix par
 voyage],Transport_de_matériel[J23])</totalsRowFormula>
    </tableColumn>
    <tableColumn id="37" xr3:uid="{00000000-0010-0000-0600-000025000000}" name="J24" totalsRowFunction="custom" dataDxfId="554" totalsRowDxfId="553" dataCellStyle="Pourcentage">
      <totalsRowFormula>SUMPRODUCT(Transport_de_matériel[Prix par
 voyage],Transport_de_matériel[J24])</totalsRow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7000000}" name="Supervision" displayName="Supervision" ref="A2:AH8" totalsRowCount="1" headerRowDxfId="552" dataDxfId="551" totalsRowDxfId="550">
  <autoFilter ref="A2:AH7" xr:uid="{00000000-0009-0000-0100-000006000000}"/>
  <tableColumns count="34">
    <tableColumn id="1" xr3:uid="{00000000-0010-0000-0700-000001000000}" name="N°" dataDxfId="549" totalsRowDxfId="548"/>
    <tableColumn id="33" xr3:uid="{00000000-0010-0000-0700-000021000000}" name="Nom et prénoms" dataDxfId="547" totalsRowDxfId="546"/>
    <tableColumn id="2" xr3:uid="{00000000-0010-0000-0700-000002000000}" name="Fonction" dataDxfId="545" totalsRowDxfId="544"/>
    <tableColumn id="32" xr3:uid="{00000000-0010-0000-0700-000020000000}" name="Nombre de jours" dataDxfId="543" totalsRowDxfId="542"/>
    <tableColumn id="31" xr3:uid="{00000000-0010-0000-0700-00001F000000}" name="Nombre de techn" dataDxfId="541" totalsRowDxfId="540"/>
    <tableColumn id="23" xr3:uid="{00000000-0010-0000-0700-000017000000}" name="Nombre total d'heure de travail" dataDxfId="539" totalsRowDxfId="538">
      <calculatedColumnFormula>Supervision[[#This Row],[Nombre de jours]]*E3*25%</calculatedColumnFormula>
    </tableColumn>
    <tableColumn id="3" xr3:uid="{00000000-0010-0000-0700-000003000000}" name="Coût horaire" dataDxfId="537" totalsRowDxfId="536" dataCellStyle="Milliers"/>
    <tableColumn id="34" xr3:uid="{00000000-0010-0000-0700-000022000000}" name="Coût journalier" dataDxfId="535" totalsRowDxfId="534" dataCellStyle="Milliers">
      <calculatedColumnFormula>Supervision[[#This Row],[Nombre de techn]]*Supervision[[#This Row],[Coût horaire]]</calculatedColumnFormula>
    </tableColumn>
    <tableColumn id="22" xr3:uid="{00000000-0010-0000-0700-000016000000}" name="Coût global salarial" totalsRowFunction="sum" dataDxfId="533" totalsRowDxfId="532" dataCellStyle="Milliers">
      <calculatedColumnFormula>+Supervision[[#This Row],[Coût horaire]]*Supervision[[#This Row],[Nombre total d''heure de travail]]*Supervision[[#This Row],[Nombre de techn]]*Supervision[[#This Row],[Nombre de jours]]</calculatedColumnFormula>
    </tableColumn>
    <tableColumn id="24" xr3:uid="{00000000-0010-0000-0700-000018000000}" name="Commentaire" totalsRowLabel="TOTAL (FCFA) / jour " dataDxfId="531" totalsRowDxfId="530" dataCellStyle="Milliers"/>
    <tableColumn id="4" xr3:uid="{00000000-0010-0000-0700-000004000000}" name="J01" totalsRowFunction="custom" dataDxfId="529" totalsRowDxfId="528" dataCellStyle="Pourcentage">
      <totalsRowFormula>SUMPRODUCT(Supervision[Coût journalier],Supervision[J01])</totalsRowFormula>
    </tableColumn>
    <tableColumn id="5" xr3:uid="{00000000-0010-0000-0700-000005000000}" name="J02" totalsRowFunction="custom" dataDxfId="527" totalsRowDxfId="526" dataCellStyle="Pourcentage">
      <totalsRowFormula>SUMPRODUCT(Supervision[Coût journalier],Supervision[J01])</totalsRowFormula>
    </tableColumn>
    <tableColumn id="6" xr3:uid="{00000000-0010-0000-0700-000006000000}" name="J03" totalsRowFunction="custom" dataDxfId="525" totalsRowDxfId="524" dataCellStyle="Pourcentage">
      <totalsRowFormula>SUMPRODUCT(Supervision[Coût journalier],Supervision[J01])</totalsRowFormula>
    </tableColumn>
    <tableColumn id="7" xr3:uid="{00000000-0010-0000-0700-000007000000}" name="J04" totalsRowFunction="custom" dataDxfId="523" totalsRowDxfId="522" dataCellStyle="Pourcentage">
      <totalsRowFormula>SUMPRODUCT(Supervision[Coût journalier],Supervision[J01])</totalsRowFormula>
    </tableColumn>
    <tableColumn id="8" xr3:uid="{00000000-0010-0000-0700-000008000000}" name="J05" totalsRowFunction="custom" dataDxfId="521" totalsRowDxfId="520" dataCellStyle="Pourcentage">
      <totalsRowFormula>SUMPRODUCT(Supervision[Coût journalier],Supervision[J01])</totalsRowFormula>
    </tableColumn>
    <tableColumn id="9" xr3:uid="{00000000-0010-0000-0700-000009000000}" name="J06" totalsRowFunction="custom" dataDxfId="519" totalsRowDxfId="518" dataCellStyle="Pourcentage">
      <totalsRowFormula>SUMPRODUCT(Supervision[Coût journalier],Supervision[J01])</totalsRowFormula>
    </tableColumn>
    <tableColumn id="10" xr3:uid="{00000000-0010-0000-0700-00000A000000}" name="J07" totalsRowFunction="custom" dataDxfId="517" totalsRowDxfId="516" dataCellStyle="Pourcentage">
      <totalsRowFormula>SUMPRODUCT(Supervision[Coût journalier],Supervision[J01])</totalsRowFormula>
    </tableColumn>
    <tableColumn id="11" xr3:uid="{00000000-0010-0000-0700-00000B000000}" name="J08" totalsRowFunction="custom" dataDxfId="515" totalsRowDxfId="514" dataCellStyle="Pourcentage">
      <totalsRowFormula>SUMPRODUCT(Supervision[Coût journalier],Supervision[J01])</totalsRowFormula>
    </tableColumn>
    <tableColumn id="12" xr3:uid="{00000000-0010-0000-0700-00000C000000}" name="J09" totalsRowFunction="custom" dataDxfId="513" totalsRowDxfId="512" dataCellStyle="Pourcentage">
      <totalsRowFormula>SUMPRODUCT(Supervision[Coût journalier],Supervision[J01])</totalsRowFormula>
    </tableColumn>
    <tableColumn id="13" xr3:uid="{00000000-0010-0000-0700-00000D000000}" name="J10" totalsRowFunction="custom" dataDxfId="511" totalsRowDxfId="510" dataCellStyle="Pourcentage">
      <totalsRowFormula>SUMPRODUCT(Supervision[Coût journalier],Supervision[J01])</totalsRowFormula>
    </tableColumn>
    <tableColumn id="14" xr3:uid="{00000000-0010-0000-0700-00000E000000}" name="J11" totalsRowFunction="custom" dataDxfId="509" totalsRowDxfId="508" dataCellStyle="Pourcentage">
      <totalsRowFormula>SUMPRODUCT(Supervision[Coût journalier],Supervision[J01])</totalsRowFormula>
    </tableColumn>
    <tableColumn id="15" xr3:uid="{00000000-0010-0000-0700-00000F000000}" name="J12" totalsRowFunction="custom" dataDxfId="507" totalsRowDxfId="506" dataCellStyle="Pourcentage">
      <totalsRowFormula>SUMPRODUCT(Supervision[Coût journalier],Supervision[J01])</totalsRowFormula>
    </tableColumn>
    <tableColumn id="16" xr3:uid="{00000000-0010-0000-0700-000010000000}" name="J13" totalsRowFunction="custom" dataDxfId="505" totalsRowDxfId="504" dataCellStyle="Pourcentage">
      <totalsRowFormula>SUMPRODUCT(Supervision[Coût journalier],Supervision[J01])</totalsRowFormula>
    </tableColumn>
    <tableColumn id="17" xr3:uid="{00000000-0010-0000-0700-000011000000}" name="J14" totalsRowFunction="custom" dataDxfId="503" totalsRowDxfId="502" dataCellStyle="Pourcentage">
      <totalsRowFormula>SUMPRODUCT(Supervision[Coût journalier],Supervision[J01])</totalsRowFormula>
    </tableColumn>
    <tableColumn id="18" xr3:uid="{00000000-0010-0000-0700-000012000000}" name="J15" totalsRowFunction="custom" dataDxfId="501" totalsRowDxfId="500" dataCellStyle="Pourcentage">
      <totalsRowFormula>SUMPRODUCT(Supervision[Coût journalier],Supervision[J01])</totalsRowFormula>
    </tableColumn>
    <tableColumn id="19" xr3:uid="{00000000-0010-0000-0700-000013000000}" name="J16" totalsRowFunction="custom" dataDxfId="499" totalsRowDxfId="498" dataCellStyle="Pourcentage">
      <totalsRowFormula>SUMPRODUCT(Supervision[Coût journalier],Supervision[J01])</totalsRowFormula>
    </tableColumn>
    <tableColumn id="20" xr3:uid="{00000000-0010-0000-0700-000014000000}" name="J17" totalsRowFunction="custom" dataDxfId="497" totalsRowDxfId="496" dataCellStyle="Pourcentage">
      <totalsRowFormula>SUMPRODUCT(Supervision[Coût journalier],Supervision[J01])</totalsRowFormula>
    </tableColumn>
    <tableColumn id="21" xr3:uid="{00000000-0010-0000-0700-000015000000}" name="J18" totalsRowFunction="custom" dataDxfId="495" totalsRowDxfId="494" dataCellStyle="Pourcentage">
      <totalsRowFormula>SUMPRODUCT(Supervision[Coût journalier],Supervision[J01])</totalsRowFormula>
    </tableColumn>
    <tableColumn id="25" xr3:uid="{00000000-0010-0000-0700-000019000000}" name="J19" totalsRowFunction="custom" dataDxfId="493" totalsRowDxfId="492" dataCellStyle="Pourcentage">
      <totalsRowFormula>SUMPRODUCT(Supervision[Coût journalier],Supervision[J01])</totalsRowFormula>
    </tableColumn>
    <tableColumn id="26" xr3:uid="{00000000-0010-0000-0700-00001A000000}" name="J20" totalsRowFunction="custom" dataDxfId="491" totalsRowDxfId="490" dataCellStyle="Pourcentage">
      <totalsRowFormula>SUMPRODUCT(Supervision[Coût journalier],Supervision[J01])</totalsRowFormula>
    </tableColumn>
    <tableColumn id="27" xr3:uid="{00000000-0010-0000-0700-00001B000000}" name="J21" totalsRowFunction="custom" dataDxfId="489" totalsRowDxfId="488" dataCellStyle="Pourcentage">
      <totalsRowFormula>SUMPRODUCT(Supervision[Coût journalier],Supervision[J01])</totalsRowFormula>
    </tableColumn>
    <tableColumn id="28" xr3:uid="{00000000-0010-0000-0700-00001C000000}" name="J22" totalsRowFunction="custom" dataDxfId="487" totalsRowDxfId="486" dataCellStyle="Pourcentage">
      <totalsRowFormula>SUMPRODUCT(Supervision[Coût journalier],Supervision[J01])</totalsRowFormula>
    </tableColumn>
    <tableColumn id="29" xr3:uid="{00000000-0010-0000-0700-00001D000000}" name="J23" totalsRowFunction="custom" dataDxfId="485" totalsRowDxfId="484" dataCellStyle="Pourcentage">
      <totalsRowFormula>SUMPRODUCT(Supervision[Coût journalier],Supervision[J01])</totalsRowFormula>
    </tableColumn>
    <tableColumn id="30" xr3:uid="{00000000-0010-0000-0700-00001E000000}" name="J24" totalsRowFunction="custom" dataDxfId="483" totalsRowDxfId="482" dataCellStyle="Pourcentage">
      <totalsRowFormula>SUMPRODUCT(Supervision[Coût journalier],Supervision[J01])</totalsRow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8000000}" name="Main_œuvre" displayName="Main_œuvre" ref="A2:AH6" totalsRowCount="1" headerRowDxfId="481" dataDxfId="480" totalsRowDxfId="479">
  <autoFilter ref="A2:AH5" xr:uid="{00000000-0009-0000-0100-000007000000}"/>
  <tableColumns count="34">
    <tableColumn id="1" xr3:uid="{00000000-0010-0000-0800-000001000000}" name="N°" dataDxfId="478" totalsRowDxfId="477"/>
    <tableColumn id="33" xr3:uid="{00000000-0010-0000-0800-000021000000}" name="Nom et prénoms" dataDxfId="476" totalsRowDxfId="475"/>
    <tableColumn id="2" xr3:uid="{00000000-0010-0000-0800-000002000000}" name="Fonction" dataDxfId="474" totalsRowDxfId="473"/>
    <tableColumn id="32" xr3:uid="{00000000-0010-0000-0800-000020000000}" name="Nombre de jours" dataDxfId="472" totalsRowDxfId="471"/>
    <tableColumn id="31" xr3:uid="{00000000-0010-0000-0800-00001F000000}" name="Nombre d'heure de travail par jour" dataDxfId="470" totalsRowDxfId="469">
      <calculatedColumnFormula>8*100%</calculatedColumnFormula>
    </tableColumn>
    <tableColumn id="30" xr3:uid="{00000000-0010-0000-0800-00001E000000}" name="Nombre de tech " dataDxfId="468" totalsRowDxfId="467"/>
    <tableColumn id="29" xr3:uid="{00000000-0010-0000-0800-00001D000000}" name="Coût horaire" dataDxfId="466" totalsRowDxfId="465"/>
    <tableColumn id="34" xr3:uid="{00000000-0010-0000-0800-000022000000}" name="Coût journalier" dataDxfId="464" totalsRowDxfId="463" dataCellStyle="Milliers">
      <calculatedColumnFormula>Main_œuvre[[#This Row],[Nombre d''heure de travail par jour]]*Main_œuvre[[#This Row],[Coût horaire]]</calculatedColumnFormula>
    </tableColumn>
    <tableColumn id="3" xr3:uid="{00000000-0010-0000-0800-000003000000}" name="Coût global salarial" totalsRowFunction="sum" dataDxfId="462" totalsRowDxfId="461" dataCellStyle="Milliers"/>
    <tableColumn id="28" xr3:uid="{00000000-0010-0000-0800-00001C000000}" name="Commentaire" totalsRowLabel="TOTAL (FCFA) / jour - HT" dataDxfId="460" totalsRowDxfId="459" dataCellStyle="Milliers"/>
    <tableColumn id="4" xr3:uid="{00000000-0010-0000-0800-000004000000}" name="J01" totalsRowFunction="custom" dataDxfId="458" totalsRowDxfId="457" dataCellStyle="Pourcentage">
      <totalsRowFormula>SUMPRODUCT(Main_œuvre[Coût journalier],Main_œuvre[J01])</totalsRowFormula>
    </tableColumn>
    <tableColumn id="5" xr3:uid="{00000000-0010-0000-0800-000005000000}" name="J02" totalsRowFunction="custom" dataDxfId="456" totalsRowDxfId="455" dataCellStyle="Pourcentage">
      <totalsRowFormula>SUMPRODUCT(Main_œuvre[Coût journalier],Main_œuvre[J02])</totalsRowFormula>
    </tableColumn>
    <tableColumn id="6" xr3:uid="{00000000-0010-0000-0800-000006000000}" name="J03" totalsRowFunction="custom" dataDxfId="454" totalsRowDxfId="453" dataCellStyle="Pourcentage">
      <totalsRowFormula>SUMPRODUCT(Main_œuvre[Coût journalier],Main_œuvre[J03])</totalsRowFormula>
    </tableColumn>
    <tableColumn id="7" xr3:uid="{00000000-0010-0000-0800-000007000000}" name="J04" totalsRowFunction="custom" dataDxfId="452" totalsRowDxfId="451" dataCellStyle="Pourcentage">
      <totalsRowFormula>SUMPRODUCT(Main_œuvre[Coût journalier],Main_œuvre[J04])</totalsRowFormula>
    </tableColumn>
    <tableColumn id="8" xr3:uid="{00000000-0010-0000-0800-000008000000}" name="J05" totalsRowFunction="custom" dataDxfId="450" totalsRowDxfId="449" dataCellStyle="Pourcentage">
      <totalsRowFormula>SUMPRODUCT(Main_œuvre[Coût journalier],Main_œuvre[J05])</totalsRowFormula>
    </tableColumn>
    <tableColumn id="9" xr3:uid="{00000000-0010-0000-0800-000009000000}" name="J06" totalsRowFunction="custom" dataDxfId="448" totalsRowDxfId="447" dataCellStyle="Pourcentage">
      <totalsRowFormula>SUMPRODUCT(Main_œuvre[Coût journalier],Main_œuvre[J06])</totalsRowFormula>
    </tableColumn>
    <tableColumn id="10" xr3:uid="{00000000-0010-0000-0800-00000A000000}" name="J07" totalsRowFunction="custom" dataDxfId="446" totalsRowDxfId="445" dataCellStyle="Pourcentage">
      <totalsRowFormula>SUMPRODUCT(Main_œuvre[Coût journalier],Main_œuvre[J07])</totalsRowFormula>
    </tableColumn>
    <tableColumn id="11" xr3:uid="{00000000-0010-0000-0800-00000B000000}" name="J08" totalsRowFunction="custom" dataDxfId="444" totalsRowDxfId="443" dataCellStyle="Pourcentage">
      <totalsRowFormula>SUMPRODUCT(Main_œuvre[Coût journalier],Main_œuvre[J08])</totalsRowFormula>
    </tableColumn>
    <tableColumn id="12" xr3:uid="{00000000-0010-0000-0800-00000C000000}" name="J09" totalsRowFunction="custom" dataDxfId="442" totalsRowDxfId="441" dataCellStyle="Pourcentage">
      <totalsRowFormula>SUMPRODUCT(Main_œuvre[Coût journalier],Main_œuvre[J09])</totalsRowFormula>
    </tableColumn>
    <tableColumn id="13" xr3:uid="{00000000-0010-0000-0800-00000D000000}" name="J10" totalsRowFunction="custom" dataDxfId="440" totalsRowDxfId="439" dataCellStyle="Pourcentage">
      <totalsRowFormula>SUMPRODUCT(Main_œuvre[Coût journalier],Main_œuvre[J10])</totalsRowFormula>
    </tableColumn>
    <tableColumn id="14" xr3:uid="{00000000-0010-0000-0800-00000E000000}" name="J11" totalsRowFunction="custom" dataDxfId="438" totalsRowDxfId="437" dataCellStyle="Pourcentage">
      <totalsRowFormula>SUMPRODUCT(Main_œuvre[Coût journalier],Main_œuvre[J11])</totalsRowFormula>
    </tableColumn>
    <tableColumn id="15" xr3:uid="{00000000-0010-0000-0800-00000F000000}" name="J12" totalsRowFunction="custom" dataDxfId="436" totalsRowDxfId="435" dataCellStyle="Pourcentage">
      <totalsRowFormula>SUMPRODUCT(Main_œuvre[Coût journalier],Main_œuvre[J12])</totalsRowFormula>
    </tableColumn>
    <tableColumn id="16" xr3:uid="{00000000-0010-0000-0800-000010000000}" name="J13" totalsRowFunction="custom" dataDxfId="434" totalsRowDxfId="433" dataCellStyle="Pourcentage">
      <totalsRowFormula>SUMPRODUCT(Main_œuvre[Coût journalier],Main_œuvre[J13])</totalsRowFormula>
    </tableColumn>
    <tableColumn id="17" xr3:uid="{00000000-0010-0000-0800-000011000000}" name="J14" totalsRowFunction="custom" dataDxfId="432" totalsRowDxfId="431" dataCellStyle="Pourcentage">
      <totalsRowFormula>SUMPRODUCT(Main_œuvre[Coût journalier],Main_œuvre[J14])</totalsRowFormula>
    </tableColumn>
    <tableColumn id="18" xr3:uid="{00000000-0010-0000-0800-000012000000}" name="J15" totalsRowFunction="custom" dataDxfId="430" totalsRowDxfId="429" dataCellStyle="Pourcentage">
      <totalsRowFormula>SUMPRODUCT(Main_œuvre[Coût journalier],Main_œuvre[J15])</totalsRowFormula>
    </tableColumn>
    <tableColumn id="19" xr3:uid="{00000000-0010-0000-0800-000013000000}" name="J16" totalsRowFunction="custom" dataDxfId="428" totalsRowDxfId="427" dataCellStyle="Pourcentage">
      <totalsRowFormula>SUMPRODUCT(Main_œuvre[Coût journalier],Main_œuvre[J16])</totalsRowFormula>
    </tableColumn>
    <tableColumn id="20" xr3:uid="{00000000-0010-0000-0800-000014000000}" name="J17" totalsRowFunction="custom" dataDxfId="426" totalsRowDxfId="425" dataCellStyle="Pourcentage">
      <totalsRowFormula>SUMPRODUCT(Main_œuvre[Coût journalier],Main_œuvre[J17])</totalsRowFormula>
    </tableColumn>
    <tableColumn id="21" xr3:uid="{00000000-0010-0000-0800-000015000000}" name="J18" totalsRowFunction="custom" dataDxfId="424" totalsRowDxfId="423" dataCellStyle="Pourcentage">
      <totalsRowFormula>SUMPRODUCT(Main_œuvre[Coût journalier],Main_œuvre[J18])</totalsRowFormula>
    </tableColumn>
    <tableColumn id="22" xr3:uid="{00000000-0010-0000-0800-000016000000}" name="J19" totalsRowFunction="custom" dataDxfId="422" totalsRowDxfId="421" dataCellStyle="Pourcentage">
      <totalsRowFormula>SUMPRODUCT(Main_œuvre[Coût journalier],Main_œuvre[J19])</totalsRowFormula>
    </tableColumn>
    <tableColumn id="23" xr3:uid="{00000000-0010-0000-0800-000017000000}" name="J20" totalsRowFunction="custom" dataDxfId="420" totalsRowDxfId="419" dataCellStyle="Pourcentage">
      <totalsRowFormula>SUMPRODUCT(Main_œuvre[Coût journalier],Main_œuvre[J20])</totalsRowFormula>
    </tableColumn>
    <tableColumn id="24" xr3:uid="{00000000-0010-0000-0800-000018000000}" name="J21" totalsRowFunction="custom" dataDxfId="418" totalsRowDxfId="417" dataCellStyle="Pourcentage">
      <totalsRowFormula>SUMPRODUCT(Main_œuvre[Coût journalier],Main_œuvre[J21])</totalsRowFormula>
    </tableColumn>
    <tableColumn id="25" xr3:uid="{00000000-0010-0000-0800-000019000000}" name="J22" totalsRowFunction="custom" dataDxfId="416" totalsRowDxfId="415" dataCellStyle="Pourcentage">
      <totalsRowFormula>SUMPRODUCT(Main_œuvre[Coût journalier],Main_œuvre[J22])</totalsRowFormula>
    </tableColumn>
    <tableColumn id="26" xr3:uid="{00000000-0010-0000-0800-00001A000000}" name="J23" totalsRowFunction="custom" dataDxfId="414" totalsRowDxfId="413" dataCellStyle="Pourcentage">
      <totalsRowFormula>SUMPRODUCT(Main_œuvre[Coût journalier],Main_œuvre[J23])</totalsRowFormula>
    </tableColumn>
    <tableColumn id="27" xr3:uid="{00000000-0010-0000-0800-00001B000000}" name="J24" totalsRowFunction="custom" dataDxfId="412" totalsRowDxfId="411" dataCellStyle="Pourcentage">
      <totalsRowFormula>SUMPRODUCT(Main_œuvre[Coût journalier],Main_œuvre[J24])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2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477B7-8656-419A-82BE-A15EFE8C9CC5}">
  <dimension ref="A1:I190"/>
  <sheetViews>
    <sheetView topLeftCell="A19" workbookViewId="0">
      <selection activeCell="D26" sqref="D26"/>
    </sheetView>
  </sheetViews>
  <sheetFormatPr baseColWidth="10" defaultColWidth="9.140625" defaultRowHeight="15.75" x14ac:dyDescent="0.25"/>
  <cols>
    <col min="1" max="1" width="8.42578125" style="328" customWidth="1"/>
    <col min="2" max="2" width="54.7109375" style="254" customWidth="1"/>
    <col min="3" max="3" width="7.85546875" style="254" customWidth="1"/>
    <col min="4" max="4" width="13.28515625" style="253" customWidth="1"/>
    <col min="5" max="5" width="14.140625" style="253" customWidth="1"/>
    <col min="6" max="6" width="14.28515625" style="329" customWidth="1"/>
    <col min="7" max="7" width="14.5703125" style="253" bestFit="1" customWidth="1"/>
    <col min="8" max="8" width="9.140625" style="254"/>
    <col min="9" max="9" width="12.140625" style="254" customWidth="1"/>
    <col min="10" max="256" width="9.140625" style="254"/>
    <col min="257" max="257" width="8.42578125" style="254" customWidth="1"/>
    <col min="258" max="258" width="54.7109375" style="254" customWidth="1"/>
    <col min="259" max="259" width="7.85546875" style="254" customWidth="1"/>
    <col min="260" max="260" width="10" style="254" customWidth="1"/>
    <col min="261" max="261" width="20.5703125" style="254" customWidth="1"/>
    <col min="262" max="262" width="15.7109375" style="254" bestFit="1" customWidth="1"/>
    <col min="263" max="263" width="14.5703125" style="254" bestFit="1" customWidth="1"/>
    <col min="264" max="512" width="9.140625" style="254"/>
    <col min="513" max="513" width="8.42578125" style="254" customWidth="1"/>
    <col min="514" max="514" width="54.7109375" style="254" customWidth="1"/>
    <col min="515" max="515" width="7.85546875" style="254" customWidth="1"/>
    <col min="516" max="516" width="10" style="254" customWidth="1"/>
    <col min="517" max="517" width="20.5703125" style="254" customWidth="1"/>
    <col min="518" max="518" width="15.7109375" style="254" bestFit="1" customWidth="1"/>
    <col min="519" max="519" width="14.5703125" style="254" bestFit="1" customWidth="1"/>
    <col min="520" max="768" width="9.140625" style="254"/>
    <col min="769" max="769" width="8.42578125" style="254" customWidth="1"/>
    <col min="770" max="770" width="54.7109375" style="254" customWidth="1"/>
    <col min="771" max="771" width="7.85546875" style="254" customWidth="1"/>
    <col min="772" max="772" width="10" style="254" customWidth="1"/>
    <col min="773" max="773" width="20.5703125" style="254" customWidth="1"/>
    <col min="774" max="774" width="15.7109375" style="254" bestFit="1" customWidth="1"/>
    <col min="775" max="775" width="14.5703125" style="254" bestFit="1" customWidth="1"/>
    <col min="776" max="1024" width="9.140625" style="254"/>
    <col min="1025" max="1025" width="8.42578125" style="254" customWidth="1"/>
    <col min="1026" max="1026" width="54.7109375" style="254" customWidth="1"/>
    <col min="1027" max="1027" width="7.85546875" style="254" customWidth="1"/>
    <col min="1028" max="1028" width="10" style="254" customWidth="1"/>
    <col min="1029" max="1029" width="20.5703125" style="254" customWidth="1"/>
    <col min="1030" max="1030" width="15.7109375" style="254" bestFit="1" customWidth="1"/>
    <col min="1031" max="1031" width="14.5703125" style="254" bestFit="1" customWidth="1"/>
    <col min="1032" max="1280" width="9.140625" style="254"/>
    <col min="1281" max="1281" width="8.42578125" style="254" customWidth="1"/>
    <col min="1282" max="1282" width="54.7109375" style="254" customWidth="1"/>
    <col min="1283" max="1283" width="7.85546875" style="254" customWidth="1"/>
    <col min="1284" max="1284" width="10" style="254" customWidth="1"/>
    <col min="1285" max="1285" width="20.5703125" style="254" customWidth="1"/>
    <col min="1286" max="1286" width="15.7109375" style="254" bestFit="1" customWidth="1"/>
    <col min="1287" max="1287" width="14.5703125" style="254" bestFit="1" customWidth="1"/>
    <col min="1288" max="1536" width="9.140625" style="254"/>
    <col min="1537" max="1537" width="8.42578125" style="254" customWidth="1"/>
    <col min="1538" max="1538" width="54.7109375" style="254" customWidth="1"/>
    <col min="1539" max="1539" width="7.85546875" style="254" customWidth="1"/>
    <col min="1540" max="1540" width="10" style="254" customWidth="1"/>
    <col min="1541" max="1541" width="20.5703125" style="254" customWidth="1"/>
    <col min="1542" max="1542" width="15.7109375" style="254" bestFit="1" customWidth="1"/>
    <col min="1543" max="1543" width="14.5703125" style="254" bestFit="1" customWidth="1"/>
    <col min="1544" max="1792" width="9.140625" style="254"/>
    <col min="1793" max="1793" width="8.42578125" style="254" customWidth="1"/>
    <col min="1794" max="1794" width="54.7109375" style="254" customWidth="1"/>
    <col min="1795" max="1795" width="7.85546875" style="254" customWidth="1"/>
    <col min="1796" max="1796" width="10" style="254" customWidth="1"/>
    <col min="1797" max="1797" width="20.5703125" style="254" customWidth="1"/>
    <col min="1798" max="1798" width="15.7109375" style="254" bestFit="1" customWidth="1"/>
    <col min="1799" max="1799" width="14.5703125" style="254" bestFit="1" customWidth="1"/>
    <col min="1800" max="2048" width="9.140625" style="254"/>
    <col min="2049" max="2049" width="8.42578125" style="254" customWidth="1"/>
    <col min="2050" max="2050" width="54.7109375" style="254" customWidth="1"/>
    <col min="2051" max="2051" width="7.85546875" style="254" customWidth="1"/>
    <col min="2052" max="2052" width="10" style="254" customWidth="1"/>
    <col min="2053" max="2053" width="20.5703125" style="254" customWidth="1"/>
    <col min="2054" max="2054" width="15.7109375" style="254" bestFit="1" customWidth="1"/>
    <col min="2055" max="2055" width="14.5703125" style="254" bestFit="1" customWidth="1"/>
    <col min="2056" max="2304" width="9.140625" style="254"/>
    <col min="2305" max="2305" width="8.42578125" style="254" customWidth="1"/>
    <col min="2306" max="2306" width="54.7109375" style="254" customWidth="1"/>
    <col min="2307" max="2307" width="7.85546875" style="254" customWidth="1"/>
    <col min="2308" max="2308" width="10" style="254" customWidth="1"/>
    <col min="2309" max="2309" width="20.5703125" style="254" customWidth="1"/>
    <col min="2310" max="2310" width="15.7109375" style="254" bestFit="1" customWidth="1"/>
    <col min="2311" max="2311" width="14.5703125" style="254" bestFit="1" customWidth="1"/>
    <col min="2312" max="2560" width="9.140625" style="254"/>
    <col min="2561" max="2561" width="8.42578125" style="254" customWidth="1"/>
    <col min="2562" max="2562" width="54.7109375" style="254" customWidth="1"/>
    <col min="2563" max="2563" width="7.85546875" style="254" customWidth="1"/>
    <col min="2564" max="2564" width="10" style="254" customWidth="1"/>
    <col min="2565" max="2565" width="20.5703125" style="254" customWidth="1"/>
    <col min="2566" max="2566" width="15.7109375" style="254" bestFit="1" customWidth="1"/>
    <col min="2567" max="2567" width="14.5703125" style="254" bestFit="1" customWidth="1"/>
    <col min="2568" max="2816" width="9.140625" style="254"/>
    <col min="2817" max="2817" width="8.42578125" style="254" customWidth="1"/>
    <col min="2818" max="2818" width="54.7109375" style="254" customWidth="1"/>
    <col min="2819" max="2819" width="7.85546875" style="254" customWidth="1"/>
    <col min="2820" max="2820" width="10" style="254" customWidth="1"/>
    <col min="2821" max="2821" width="20.5703125" style="254" customWidth="1"/>
    <col min="2822" max="2822" width="15.7109375" style="254" bestFit="1" customWidth="1"/>
    <col min="2823" max="2823" width="14.5703125" style="254" bestFit="1" customWidth="1"/>
    <col min="2824" max="3072" width="9.140625" style="254"/>
    <col min="3073" max="3073" width="8.42578125" style="254" customWidth="1"/>
    <col min="3074" max="3074" width="54.7109375" style="254" customWidth="1"/>
    <col min="3075" max="3075" width="7.85546875" style="254" customWidth="1"/>
    <col min="3076" max="3076" width="10" style="254" customWidth="1"/>
    <col min="3077" max="3077" width="20.5703125" style="254" customWidth="1"/>
    <col min="3078" max="3078" width="15.7109375" style="254" bestFit="1" customWidth="1"/>
    <col min="3079" max="3079" width="14.5703125" style="254" bestFit="1" customWidth="1"/>
    <col min="3080" max="3328" width="9.140625" style="254"/>
    <col min="3329" max="3329" width="8.42578125" style="254" customWidth="1"/>
    <col min="3330" max="3330" width="54.7109375" style="254" customWidth="1"/>
    <col min="3331" max="3331" width="7.85546875" style="254" customWidth="1"/>
    <col min="3332" max="3332" width="10" style="254" customWidth="1"/>
    <col min="3333" max="3333" width="20.5703125" style="254" customWidth="1"/>
    <col min="3334" max="3334" width="15.7109375" style="254" bestFit="1" customWidth="1"/>
    <col min="3335" max="3335" width="14.5703125" style="254" bestFit="1" customWidth="1"/>
    <col min="3336" max="3584" width="9.140625" style="254"/>
    <col min="3585" max="3585" width="8.42578125" style="254" customWidth="1"/>
    <col min="3586" max="3586" width="54.7109375" style="254" customWidth="1"/>
    <col min="3587" max="3587" width="7.85546875" style="254" customWidth="1"/>
    <col min="3588" max="3588" width="10" style="254" customWidth="1"/>
    <col min="3589" max="3589" width="20.5703125" style="254" customWidth="1"/>
    <col min="3590" max="3590" width="15.7109375" style="254" bestFit="1" customWidth="1"/>
    <col min="3591" max="3591" width="14.5703125" style="254" bestFit="1" customWidth="1"/>
    <col min="3592" max="3840" width="9.140625" style="254"/>
    <col min="3841" max="3841" width="8.42578125" style="254" customWidth="1"/>
    <col min="3842" max="3842" width="54.7109375" style="254" customWidth="1"/>
    <col min="3843" max="3843" width="7.85546875" style="254" customWidth="1"/>
    <col min="3844" max="3844" width="10" style="254" customWidth="1"/>
    <col min="3845" max="3845" width="20.5703125" style="254" customWidth="1"/>
    <col min="3846" max="3846" width="15.7109375" style="254" bestFit="1" customWidth="1"/>
    <col min="3847" max="3847" width="14.5703125" style="254" bestFit="1" customWidth="1"/>
    <col min="3848" max="4096" width="9.140625" style="254"/>
    <col min="4097" max="4097" width="8.42578125" style="254" customWidth="1"/>
    <col min="4098" max="4098" width="54.7109375" style="254" customWidth="1"/>
    <col min="4099" max="4099" width="7.85546875" style="254" customWidth="1"/>
    <col min="4100" max="4100" width="10" style="254" customWidth="1"/>
    <col min="4101" max="4101" width="20.5703125" style="254" customWidth="1"/>
    <col min="4102" max="4102" width="15.7109375" style="254" bestFit="1" customWidth="1"/>
    <col min="4103" max="4103" width="14.5703125" style="254" bestFit="1" customWidth="1"/>
    <col min="4104" max="4352" width="9.140625" style="254"/>
    <col min="4353" max="4353" width="8.42578125" style="254" customWidth="1"/>
    <col min="4354" max="4354" width="54.7109375" style="254" customWidth="1"/>
    <col min="4355" max="4355" width="7.85546875" style="254" customWidth="1"/>
    <col min="4356" max="4356" width="10" style="254" customWidth="1"/>
    <col min="4357" max="4357" width="20.5703125" style="254" customWidth="1"/>
    <col min="4358" max="4358" width="15.7109375" style="254" bestFit="1" customWidth="1"/>
    <col min="4359" max="4359" width="14.5703125" style="254" bestFit="1" customWidth="1"/>
    <col min="4360" max="4608" width="9.140625" style="254"/>
    <col min="4609" max="4609" width="8.42578125" style="254" customWidth="1"/>
    <col min="4610" max="4610" width="54.7109375" style="254" customWidth="1"/>
    <col min="4611" max="4611" width="7.85546875" style="254" customWidth="1"/>
    <col min="4612" max="4612" width="10" style="254" customWidth="1"/>
    <col min="4613" max="4613" width="20.5703125" style="254" customWidth="1"/>
    <col min="4614" max="4614" width="15.7109375" style="254" bestFit="1" customWidth="1"/>
    <col min="4615" max="4615" width="14.5703125" style="254" bestFit="1" customWidth="1"/>
    <col min="4616" max="4864" width="9.140625" style="254"/>
    <col min="4865" max="4865" width="8.42578125" style="254" customWidth="1"/>
    <col min="4866" max="4866" width="54.7109375" style="254" customWidth="1"/>
    <col min="4867" max="4867" width="7.85546875" style="254" customWidth="1"/>
    <col min="4868" max="4868" width="10" style="254" customWidth="1"/>
    <col min="4869" max="4869" width="20.5703125" style="254" customWidth="1"/>
    <col min="4870" max="4870" width="15.7109375" style="254" bestFit="1" customWidth="1"/>
    <col min="4871" max="4871" width="14.5703125" style="254" bestFit="1" customWidth="1"/>
    <col min="4872" max="5120" width="9.140625" style="254"/>
    <col min="5121" max="5121" width="8.42578125" style="254" customWidth="1"/>
    <col min="5122" max="5122" width="54.7109375" style="254" customWidth="1"/>
    <col min="5123" max="5123" width="7.85546875" style="254" customWidth="1"/>
    <col min="5124" max="5124" width="10" style="254" customWidth="1"/>
    <col min="5125" max="5125" width="20.5703125" style="254" customWidth="1"/>
    <col min="5126" max="5126" width="15.7109375" style="254" bestFit="1" customWidth="1"/>
    <col min="5127" max="5127" width="14.5703125" style="254" bestFit="1" customWidth="1"/>
    <col min="5128" max="5376" width="9.140625" style="254"/>
    <col min="5377" max="5377" width="8.42578125" style="254" customWidth="1"/>
    <col min="5378" max="5378" width="54.7109375" style="254" customWidth="1"/>
    <col min="5379" max="5379" width="7.85546875" style="254" customWidth="1"/>
    <col min="5380" max="5380" width="10" style="254" customWidth="1"/>
    <col min="5381" max="5381" width="20.5703125" style="254" customWidth="1"/>
    <col min="5382" max="5382" width="15.7109375" style="254" bestFit="1" customWidth="1"/>
    <col min="5383" max="5383" width="14.5703125" style="254" bestFit="1" customWidth="1"/>
    <col min="5384" max="5632" width="9.140625" style="254"/>
    <col min="5633" max="5633" width="8.42578125" style="254" customWidth="1"/>
    <col min="5634" max="5634" width="54.7109375" style="254" customWidth="1"/>
    <col min="5635" max="5635" width="7.85546875" style="254" customWidth="1"/>
    <col min="5636" max="5636" width="10" style="254" customWidth="1"/>
    <col min="5637" max="5637" width="20.5703125" style="254" customWidth="1"/>
    <col min="5638" max="5638" width="15.7109375" style="254" bestFit="1" customWidth="1"/>
    <col min="5639" max="5639" width="14.5703125" style="254" bestFit="1" customWidth="1"/>
    <col min="5640" max="5888" width="9.140625" style="254"/>
    <col min="5889" max="5889" width="8.42578125" style="254" customWidth="1"/>
    <col min="5890" max="5890" width="54.7109375" style="254" customWidth="1"/>
    <col min="5891" max="5891" width="7.85546875" style="254" customWidth="1"/>
    <col min="5892" max="5892" width="10" style="254" customWidth="1"/>
    <col min="5893" max="5893" width="20.5703125" style="254" customWidth="1"/>
    <col min="5894" max="5894" width="15.7109375" style="254" bestFit="1" customWidth="1"/>
    <col min="5895" max="5895" width="14.5703125" style="254" bestFit="1" customWidth="1"/>
    <col min="5896" max="6144" width="9.140625" style="254"/>
    <col min="6145" max="6145" width="8.42578125" style="254" customWidth="1"/>
    <col min="6146" max="6146" width="54.7109375" style="254" customWidth="1"/>
    <col min="6147" max="6147" width="7.85546875" style="254" customWidth="1"/>
    <col min="6148" max="6148" width="10" style="254" customWidth="1"/>
    <col min="6149" max="6149" width="20.5703125" style="254" customWidth="1"/>
    <col min="6150" max="6150" width="15.7109375" style="254" bestFit="1" customWidth="1"/>
    <col min="6151" max="6151" width="14.5703125" style="254" bestFit="1" customWidth="1"/>
    <col min="6152" max="6400" width="9.140625" style="254"/>
    <col min="6401" max="6401" width="8.42578125" style="254" customWidth="1"/>
    <col min="6402" max="6402" width="54.7109375" style="254" customWidth="1"/>
    <col min="6403" max="6403" width="7.85546875" style="254" customWidth="1"/>
    <col min="6404" max="6404" width="10" style="254" customWidth="1"/>
    <col min="6405" max="6405" width="20.5703125" style="254" customWidth="1"/>
    <col min="6406" max="6406" width="15.7109375" style="254" bestFit="1" customWidth="1"/>
    <col min="6407" max="6407" width="14.5703125" style="254" bestFit="1" customWidth="1"/>
    <col min="6408" max="6656" width="9.140625" style="254"/>
    <col min="6657" max="6657" width="8.42578125" style="254" customWidth="1"/>
    <col min="6658" max="6658" width="54.7109375" style="254" customWidth="1"/>
    <col min="6659" max="6659" width="7.85546875" style="254" customWidth="1"/>
    <col min="6660" max="6660" width="10" style="254" customWidth="1"/>
    <col min="6661" max="6661" width="20.5703125" style="254" customWidth="1"/>
    <col min="6662" max="6662" width="15.7109375" style="254" bestFit="1" customWidth="1"/>
    <col min="6663" max="6663" width="14.5703125" style="254" bestFit="1" customWidth="1"/>
    <col min="6664" max="6912" width="9.140625" style="254"/>
    <col min="6913" max="6913" width="8.42578125" style="254" customWidth="1"/>
    <col min="6914" max="6914" width="54.7109375" style="254" customWidth="1"/>
    <col min="6915" max="6915" width="7.85546875" style="254" customWidth="1"/>
    <col min="6916" max="6916" width="10" style="254" customWidth="1"/>
    <col min="6917" max="6917" width="20.5703125" style="254" customWidth="1"/>
    <col min="6918" max="6918" width="15.7109375" style="254" bestFit="1" customWidth="1"/>
    <col min="6919" max="6919" width="14.5703125" style="254" bestFit="1" customWidth="1"/>
    <col min="6920" max="7168" width="9.140625" style="254"/>
    <col min="7169" max="7169" width="8.42578125" style="254" customWidth="1"/>
    <col min="7170" max="7170" width="54.7109375" style="254" customWidth="1"/>
    <col min="7171" max="7171" width="7.85546875" style="254" customWidth="1"/>
    <col min="7172" max="7172" width="10" style="254" customWidth="1"/>
    <col min="7173" max="7173" width="20.5703125" style="254" customWidth="1"/>
    <col min="7174" max="7174" width="15.7109375" style="254" bestFit="1" customWidth="1"/>
    <col min="7175" max="7175" width="14.5703125" style="254" bestFit="1" customWidth="1"/>
    <col min="7176" max="7424" width="9.140625" style="254"/>
    <col min="7425" max="7425" width="8.42578125" style="254" customWidth="1"/>
    <col min="7426" max="7426" width="54.7109375" style="254" customWidth="1"/>
    <col min="7427" max="7427" width="7.85546875" style="254" customWidth="1"/>
    <col min="7428" max="7428" width="10" style="254" customWidth="1"/>
    <col min="7429" max="7429" width="20.5703125" style="254" customWidth="1"/>
    <col min="7430" max="7430" width="15.7109375" style="254" bestFit="1" customWidth="1"/>
    <col min="7431" max="7431" width="14.5703125" style="254" bestFit="1" customWidth="1"/>
    <col min="7432" max="7680" width="9.140625" style="254"/>
    <col min="7681" max="7681" width="8.42578125" style="254" customWidth="1"/>
    <col min="7682" max="7682" width="54.7109375" style="254" customWidth="1"/>
    <col min="7683" max="7683" width="7.85546875" style="254" customWidth="1"/>
    <col min="7684" max="7684" width="10" style="254" customWidth="1"/>
    <col min="7685" max="7685" width="20.5703125" style="254" customWidth="1"/>
    <col min="7686" max="7686" width="15.7109375" style="254" bestFit="1" customWidth="1"/>
    <col min="7687" max="7687" width="14.5703125" style="254" bestFit="1" customWidth="1"/>
    <col min="7688" max="7936" width="9.140625" style="254"/>
    <col min="7937" max="7937" width="8.42578125" style="254" customWidth="1"/>
    <col min="7938" max="7938" width="54.7109375" style="254" customWidth="1"/>
    <col min="7939" max="7939" width="7.85546875" style="254" customWidth="1"/>
    <col min="7940" max="7940" width="10" style="254" customWidth="1"/>
    <col min="7941" max="7941" width="20.5703125" style="254" customWidth="1"/>
    <col min="7942" max="7942" width="15.7109375" style="254" bestFit="1" customWidth="1"/>
    <col min="7943" max="7943" width="14.5703125" style="254" bestFit="1" customWidth="1"/>
    <col min="7944" max="8192" width="9.140625" style="254"/>
    <col min="8193" max="8193" width="8.42578125" style="254" customWidth="1"/>
    <col min="8194" max="8194" width="54.7109375" style="254" customWidth="1"/>
    <col min="8195" max="8195" width="7.85546875" style="254" customWidth="1"/>
    <col min="8196" max="8196" width="10" style="254" customWidth="1"/>
    <col min="8197" max="8197" width="20.5703125" style="254" customWidth="1"/>
    <col min="8198" max="8198" width="15.7109375" style="254" bestFit="1" customWidth="1"/>
    <col min="8199" max="8199" width="14.5703125" style="254" bestFit="1" customWidth="1"/>
    <col min="8200" max="8448" width="9.140625" style="254"/>
    <col min="8449" max="8449" width="8.42578125" style="254" customWidth="1"/>
    <col min="8450" max="8450" width="54.7109375" style="254" customWidth="1"/>
    <col min="8451" max="8451" width="7.85546875" style="254" customWidth="1"/>
    <col min="8452" max="8452" width="10" style="254" customWidth="1"/>
    <col min="8453" max="8453" width="20.5703125" style="254" customWidth="1"/>
    <col min="8454" max="8454" width="15.7109375" style="254" bestFit="1" customWidth="1"/>
    <col min="8455" max="8455" width="14.5703125" style="254" bestFit="1" customWidth="1"/>
    <col min="8456" max="8704" width="9.140625" style="254"/>
    <col min="8705" max="8705" width="8.42578125" style="254" customWidth="1"/>
    <col min="8706" max="8706" width="54.7109375" style="254" customWidth="1"/>
    <col min="8707" max="8707" width="7.85546875" style="254" customWidth="1"/>
    <col min="8708" max="8708" width="10" style="254" customWidth="1"/>
    <col min="8709" max="8709" width="20.5703125" style="254" customWidth="1"/>
    <col min="8710" max="8710" width="15.7109375" style="254" bestFit="1" customWidth="1"/>
    <col min="8711" max="8711" width="14.5703125" style="254" bestFit="1" customWidth="1"/>
    <col min="8712" max="8960" width="9.140625" style="254"/>
    <col min="8961" max="8961" width="8.42578125" style="254" customWidth="1"/>
    <col min="8962" max="8962" width="54.7109375" style="254" customWidth="1"/>
    <col min="8963" max="8963" width="7.85546875" style="254" customWidth="1"/>
    <col min="8964" max="8964" width="10" style="254" customWidth="1"/>
    <col min="8965" max="8965" width="20.5703125" style="254" customWidth="1"/>
    <col min="8966" max="8966" width="15.7109375" style="254" bestFit="1" customWidth="1"/>
    <col min="8967" max="8967" width="14.5703125" style="254" bestFit="1" customWidth="1"/>
    <col min="8968" max="9216" width="9.140625" style="254"/>
    <col min="9217" max="9217" width="8.42578125" style="254" customWidth="1"/>
    <col min="9218" max="9218" width="54.7109375" style="254" customWidth="1"/>
    <col min="9219" max="9219" width="7.85546875" style="254" customWidth="1"/>
    <col min="9220" max="9220" width="10" style="254" customWidth="1"/>
    <col min="9221" max="9221" width="20.5703125" style="254" customWidth="1"/>
    <col min="9222" max="9222" width="15.7109375" style="254" bestFit="1" customWidth="1"/>
    <col min="9223" max="9223" width="14.5703125" style="254" bestFit="1" customWidth="1"/>
    <col min="9224" max="9472" width="9.140625" style="254"/>
    <col min="9473" max="9473" width="8.42578125" style="254" customWidth="1"/>
    <col min="9474" max="9474" width="54.7109375" style="254" customWidth="1"/>
    <col min="9475" max="9475" width="7.85546875" style="254" customWidth="1"/>
    <col min="9476" max="9476" width="10" style="254" customWidth="1"/>
    <col min="9477" max="9477" width="20.5703125" style="254" customWidth="1"/>
    <col min="9478" max="9478" width="15.7109375" style="254" bestFit="1" customWidth="1"/>
    <col min="9479" max="9479" width="14.5703125" style="254" bestFit="1" customWidth="1"/>
    <col min="9480" max="9728" width="9.140625" style="254"/>
    <col min="9729" max="9729" width="8.42578125" style="254" customWidth="1"/>
    <col min="9730" max="9730" width="54.7109375" style="254" customWidth="1"/>
    <col min="9731" max="9731" width="7.85546875" style="254" customWidth="1"/>
    <col min="9732" max="9732" width="10" style="254" customWidth="1"/>
    <col min="9733" max="9733" width="20.5703125" style="254" customWidth="1"/>
    <col min="9734" max="9734" width="15.7109375" style="254" bestFit="1" customWidth="1"/>
    <col min="9735" max="9735" width="14.5703125" style="254" bestFit="1" customWidth="1"/>
    <col min="9736" max="9984" width="9.140625" style="254"/>
    <col min="9985" max="9985" width="8.42578125" style="254" customWidth="1"/>
    <col min="9986" max="9986" width="54.7109375" style="254" customWidth="1"/>
    <col min="9987" max="9987" width="7.85546875" style="254" customWidth="1"/>
    <col min="9988" max="9988" width="10" style="254" customWidth="1"/>
    <col min="9989" max="9989" width="20.5703125" style="254" customWidth="1"/>
    <col min="9990" max="9990" width="15.7109375" style="254" bestFit="1" customWidth="1"/>
    <col min="9991" max="9991" width="14.5703125" style="254" bestFit="1" customWidth="1"/>
    <col min="9992" max="10240" width="9.140625" style="254"/>
    <col min="10241" max="10241" width="8.42578125" style="254" customWidth="1"/>
    <col min="10242" max="10242" width="54.7109375" style="254" customWidth="1"/>
    <col min="10243" max="10243" width="7.85546875" style="254" customWidth="1"/>
    <col min="10244" max="10244" width="10" style="254" customWidth="1"/>
    <col min="10245" max="10245" width="20.5703125" style="254" customWidth="1"/>
    <col min="10246" max="10246" width="15.7109375" style="254" bestFit="1" customWidth="1"/>
    <col min="10247" max="10247" width="14.5703125" style="254" bestFit="1" customWidth="1"/>
    <col min="10248" max="10496" width="9.140625" style="254"/>
    <col min="10497" max="10497" width="8.42578125" style="254" customWidth="1"/>
    <col min="10498" max="10498" width="54.7109375" style="254" customWidth="1"/>
    <col min="10499" max="10499" width="7.85546875" style="254" customWidth="1"/>
    <col min="10500" max="10500" width="10" style="254" customWidth="1"/>
    <col min="10501" max="10501" width="20.5703125" style="254" customWidth="1"/>
    <col min="10502" max="10502" width="15.7109375" style="254" bestFit="1" customWidth="1"/>
    <col min="10503" max="10503" width="14.5703125" style="254" bestFit="1" customWidth="1"/>
    <col min="10504" max="10752" width="9.140625" style="254"/>
    <col min="10753" max="10753" width="8.42578125" style="254" customWidth="1"/>
    <col min="10754" max="10754" width="54.7109375" style="254" customWidth="1"/>
    <col min="10755" max="10755" width="7.85546875" style="254" customWidth="1"/>
    <col min="10756" max="10756" width="10" style="254" customWidth="1"/>
    <col min="10757" max="10757" width="20.5703125" style="254" customWidth="1"/>
    <col min="10758" max="10758" width="15.7109375" style="254" bestFit="1" customWidth="1"/>
    <col min="10759" max="10759" width="14.5703125" style="254" bestFit="1" customWidth="1"/>
    <col min="10760" max="11008" width="9.140625" style="254"/>
    <col min="11009" max="11009" width="8.42578125" style="254" customWidth="1"/>
    <col min="11010" max="11010" width="54.7109375" style="254" customWidth="1"/>
    <col min="11011" max="11011" width="7.85546875" style="254" customWidth="1"/>
    <col min="11012" max="11012" width="10" style="254" customWidth="1"/>
    <col min="11013" max="11013" width="20.5703125" style="254" customWidth="1"/>
    <col min="11014" max="11014" width="15.7109375" style="254" bestFit="1" customWidth="1"/>
    <col min="11015" max="11015" width="14.5703125" style="254" bestFit="1" customWidth="1"/>
    <col min="11016" max="11264" width="9.140625" style="254"/>
    <col min="11265" max="11265" width="8.42578125" style="254" customWidth="1"/>
    <col min="11266" max="11266" width="54.7109375" style="254" customWidth="1"/>
    <col min="11267" max="11267" width="7.85546875" style="254" customWidth="1"/>
    <col min="11268" max="11268" width="10" style="254" customWidth="1"/>
    <col min="11269" max="11269" width="20.5703125" style="254" customWidth="1"/>
    <col min="11270" max="11270" width="15.7109375" style="254" bestFit="1" customWidth="1"/>
    <col min="11271" max="11271" width="14.5703125" style="254" bestFit="1" customWidth="1"/>
    <col min="11272" max="11520" width="9.140625" style="254"/>
    <col min="11521" max="11521" width="8.42578125" style="254" customWidth="1"/>
    <col min="11522" max="11522" width="54.7109375" style="254" customWidth="1"/>
    <col min="11523" max="11523" width="7.85546875" style="254" customWidth="1"/>
    <col min="11524" max="11524" width="10" style="254" customWidth="1"/>
    <col min="11525" max="11525" width="20.5703125" style="254" customWidth="1"/>
    <col min="11526" max="11526" width="15.7109375" style="254" bestFit="1" customWidth="1"/>
    <col min="11527" max="11527" width="14.5703125" style="254" bestFit="1" customWidth="1"/>
    <col min="11528" max="11776" width="9.140625" style="254"/>
    <col min="11777" max="11777" width="8.42578125" style="254" customWidth="1"/>
    <col min="11778" max="11778" width="54.7109375" style="254" customWidth="1"/>
    <col min="11779" max="11779" width="7.85546875" style="254" customWidth="1"/>
    <col min="11780" max="11780" width="10" style="254" customWidth="1"/>
    <col min="11781" max="11781" width="20.5703125" style="254" customWidth="1"/>
    <col min="11782" max="11782" width="15.7109375" style="254" bestFit="1" customWidth="1"/>
    <col min="11783" max="11783" width="14.5703125" style="254" bestFit="1" customWidth="1"/>
    <col min="11784" max="12032" width="9.140625" style="254"/>
    <col min="12033" max="12033" width="8.42578125" style="254" customWidth="1"/>
    <col min="12034" max="12034" width="54.7109375" style="254" customWidth="1"/>
    <col min="12035" max="12035" width="7.85546875" style="254" customWidth="1"/>
    <col min="12036" max="12036" width="10" style="254" customWidth="1"/>
    <col min="12037" max="12037" width="20.5703125" style="254" customWidth="1"/>
    <col min="12038" max="12038" width="15.7109375" style="254" bestFit="1" customWidth="1"/>
    <col min="12039" max="12039" width="14.5703125" style="254" bestFit="1" customWidth="1"/>
    <col min="12040" max="12288" width="9.140625" style="254"/>
    <col min="12289" max="12289" width="8.42578125" style="254" customWidth="1"/>
    <col min="12290" max="12290" width="54.7109375" style="254" customWidth="1"/>
    <col min="12291" max="12291" width="7.85546875" style="254" customWidth="1"/>
    <col min="12292" max="12292" width="10" style="254" customWidth="1"/>
    <col min="12293" max="12293" width="20.5703125" style="254" customWidth="1"/>
    <col min="12294" max="12294" width="15.7109375" style="254" bestFit="1" customWidth="1"/>
    <col min="12295" max="12295" width="14.5703125" style="254" bestFit="1" customWidth="1"/>
    <col min="12296" max="12544" width="9.140625" style="254"/>
    <col min="12545" max="12545" width="8.42578125" style="254" customWidth="1"/>
    <col min="12546" max="12546" width="54.7109375" style="254" customWidth="1"/>
    <col min="12547" max="12547" width="7.85546875" style="254" customWidth="1"/>
    <col min="12548" max="12548" width="10" style="254" customWidth="1"/>
    <col min="12549" max="12549" width="20.5703125" style="254" customWidth="1"/>
    <col min="12550" max="12550" width="15.7109375" style="254" bestFit="1" customWidth="1"/>
    <col min="12551" max="12551" width="14.5703125" style="254" bestFit="1" customWidth="1"/>
    <col min="12552" max="12800" width="9.140625" style="254"/>
    <col min="12801" max="12801" width="8.42578125" style="254" customWidth="1"/>
    <col min="12802" max="12802" width="54.7109375" style="254" customWidth="1"/>
    <col min="12803" max="12803" width="7.85546875" style="254" customWidth="1"/>
    <col min="12804" max="12804" width="10" style="254" customWidth="1"/>
    <col min="12805" max="12805" width="20.5703125" style="254" customWidth="1"/>
    <col min="12806" max="12806" width="15.7109375" style="254" bestFit="1" customWidth="1"/>
    <col min="12807" max="12807" width="14.5703125" style="254" bestFit="1" customWidth="1"/>
    <col min="12808" max="13056" width="9.140625" style="254"/>
    <col min="13057" max="13057" width="8.42578125" style="254" customWidth="1"/>
    <col min="13058" max="13058" width="54.7109375" style="254" customWidth="1"/>
    <col min="13059" max="13059" width="7.85546875" style="254" customWidth="1"/>
    <col min="13060" max="13060" width="10" style="254" customWidth="1"/>
    <col min="13061" max="13061" width="20.5703125" style="254" customWidth="1"/>
    <col min="13062" max="13062" width="15.7109375" style="254" bestFit="1" customWidth="1"/>
    <col min="13063" max="13063" width="14.5703125" style="254" bestFit="1" customWidth="1"/>
    <col min="13064" max="13312" width="9.140625" style="254"/>
    <col min="13313" max="13313" width="8.42578125" style="254" customWidth="1"/>
    <col min="13314" max="13314" width="54.7109375" style="254" customWidth="1"/>
    <col min="13315" max="13315" width="7.85546875" style="254" customWidth="1"/>
    <col min="13316" max="13316" width="10" style="254" customWidth="1"/>
    <col min="13317" max="13317" width="20.5703125" style="254" customWidth="1"/>
    <col min="13318" max="13318" width="15.7109375" style="254" bestFit="1" customWidth="1"/>
    <col min="13319" max="13319" width="14.5703125" style="254" bestFit="1" customWidth="1"/>
    <col min="13320" max="13568" width="9.140625" style="254"/>
    <col min="13569" max="13569" width="8.42578125" style="254" customWidth="1"/>
    <col min="13570" max="13570" width="54.7109375" style="254" customWidth="1"/>
    <col min="13571" max="13571" width="7.85546875" style="254" customWidth="1"/>
    <col min="13572" max="13572" width="10" style="254" customWidth="1"/>
    <col min="13573" max="13573" width="20.5703125" style="254" customWidth="1"/>
    <col min="13574" max="13574" width="15.7109375" style="254" bestFit="1" customWidth="1"/>
    <col min="13575" max="13575" width="14.5703125" style="254" bestFit="1" customWidth="1"/>
    <col min="13576" max="13824" width="9.140625" style="254"/>
    <col min="13825" max="13825" width="8.42578125" style="254" customWidth="1"/>
    <col min="13826" max="13826" width="54.7109375" style="254" customWidth="1"/>
    <col min="13827" max="13827" width="7.85546875" style="254" customWidth="1"/>
    <col min="13828" max="13828" width="10" style="254" customWidth="1"/>
    <col min="13829" max="13829" width="20.5703125" style="254" customWidth="1"/>
    <col min="13830" max="13830" width="15.7109375" style="254" bestFit="1" customWidth="1"/>
    <col min="13831" max="13831" width="14.5703125" style="254" bestFit="1" customWidth="1"/>
    <col min="13832" max="14080" width="9.140625" style="254"/>
    <col min="14081" max="14081" width="8.42578125" style="254" customWidth="1"/>
    <col min="14082" max="14082" width="54.7109375" style="254" customWidth="1"/>
    <col min="14083" max="14083" width="7.85546875" style="254" customWidth="1"/>
    <col min="14084" max="14084" width="10" style="254" customWidth="1"/>
    <col min="14085" max="14085" width="20.5703125" style="254" customWidth="1"/>
    <col min="14086" max="14086" width="15.7109375" style="254" bestFit="1" customWidth="1"/>
    <col min="14087" max="14087" width="14.5703125" style="254" bestFit="1" customWidth="1"/>
    <col min="14088" max="14336" width="9.140625" style="254"/>
    <col min="14337" max="14337" width="8.42578125" style="254" customWidth="1"/>
    <col min="14338" max="14338" width="54.7109375" style="254" customWidth="1"/>
    <col min="14339" max="14339" width="7.85546875" style="254" customWidth="1"/>
    <col min="14340" max="14340" width="10" style="254" customWidth="1"/>
    <col min="14341" max="14341" width="20.5703125" style="254" customWidth="1"/>
    <col min="14342" max="14342" width="15.7109375" style="254" bestFit="1" customWidth="1"/>
    <col min="14343" max="14343" width="14.5703125" style="254" bestFit="1" customWidth="1"/>
    <col min="14344" max="14592" width="9.140625" style="254"/>
    <col min="14593" max="14593" width="8.42578125" style="254" customWidth="1"/>
    <col min="14594" max="14594" width="54.7109375" style="254" customWidth="1"/>
    <col min="14595" max="14595" width="7.85546875" style="254" customWidth="1"/>
    <col min="14596" max="14596" width="10" style="254" customWidth="1"/>
    <col min="14597" max="14597" width="20.5703125" style="254" customWidth="1"/>
    <col min="14598" max="14598" width="15.7109375" style="254" bestFit="1" customWidth="1"/>
    <col min="14599" max="14599" width="14.5703125" style="254" bestFit="1" customWidth="1"/>
    <col min="14600" max="14848" width="9.140625" style="254"/>
    <col min="14849" max="14849" width="8.42578125" style="254" customWidth="1"/>
    <col min="14850" max="14850" width="54.7109375" style="254" customWidth="1"/>
    <col min="14851" max="14851" width="7.85546875" style="254" customWidth="1"/>
    <col min="14852" max="14852" width="10" style="254" customWidth="1"/>
    <col min="14853" max="14853" width="20.5703125" style="254" customWidth="1"/>
    <col min="14854" max="14854" width="15.7109375" style="254" bestFit="1" customWidth="1"/>
    <col min="14855" max="14855" width="14.5703125" style="254" bestFit="1" customWidth="1"/>
    <col min="14856" max="15104" width="9.140625" style="254"/>
    <col min="15105" max="15105" width="8.42578125" style="254" customWidth="1"/>
    <col min="15106" max="15106" width="54.7109375" style="254" customWidth="1"/>
    <col min="15107" max="15107" width="7.85546875" style="254" customWidth="1"/>
    <col min="15108" max="15108" width="10" style="254" customWidth="1"/>
    <col min="15109" max="15109" width="20.5703125" style="254" customWidth="1"/>
    <col min="15110" max="15110" width="15.7109375" style="254" bestFit="1" customWidth="1"/>
    <col min="15111" max="15111" width="14.5703125" style="254" bestFit="1" customWidth="1"/>
    <col min="15112" max="15360" width="9.140625" style="254"/>
    <col min="15361" max="15361" width="8.42578125" style="254" customWidth="1"/>
    <col min="15362" max="15362" width="54.7109375" style="254" customWidth="1"/>
    <col min="15363" max="15363" width="7.85546875" style="254" customWidth="1"/>
    <col min="15364" max="15364" width="10" style="254" customWidth="1"/>
    <col min="15365" max="15365" width="20.5703125" style="254" customWidth="1"/>
    <col min="15366" max="15366" width="15.7109375" style="254" bestFit="1" customWidth="1"/>
    <col min="15367" max="15367" width="14.5703125" style="254" bestFit="1" customWidth="1"/>
    <col min="15368" max="15616" width="9.140625" style="254"/>
    <col min="15617" max="15617" width="8.42578125" style="254" customWidth="1"/>
    <col min="15618" max="15618" width="54.7109375" style="254" customWidth="1"/>
    <col min="15619" max="15619" width="7.85546875" style="254" customWidth="1"/>
    <col min="15620" max="15620" width="10" style="254" customWidth="1"/>
    <col min="15621" max="15621" width="20.5703125" style="254" customWidth="1"/>
    <col min="15622" max="15622" width="15.7109375" style="254" bestFit="1" customWidth="1"/>
    <col min="15623" max="15623" width="14.5703125" style="254" bestFit="1" customWidth="1"/>
    <col min="15624" max="15872" width="9.140625" style="254"/>
    <col min="15873" max="15873" width="8.42578125" style="254" customWidth="1"/>
    <col min="15874" max="15874" width="54.7109375" style="254" customWidth="1"/>
    <col min="15875" max="15875" width="7.85546875" style="254" customWidth="1"/>
    <col min="15876" max="15876" width="10" style="254" customWidth="1"/>
    <col min="15877" max="15877" width="20.5703125" style="254" customWidth="1"/>
    <col min="15878" max="15878" width="15.7109375" style="254" bestFit="1" customWidth="1"/>
    <col min="15879" max="15879" width="14.5703125" style="254" bestFit="1" customWidth="1"/>
    <col min="15880" max="16128" width="9.140625" style="254"/>
    <col min="16129" max="16129" width="8.42578125" style="254" customWidth="1"/>
    <col min="16130" max="16130" width="54.7109375" style="254" customWidth="1"/>
    <col min="16131" max="16131" width="7.85546875" style="254" customWidth="1"/>
    <col min="16132" max="16132" width="10" style="254" customWidth="1"/>
    <col min="16133" max="16133" width="20.5703125" style="254" customWidth="1"/>
    <col min="16134" max="16134" width="15.7109375" style="254" bestFit="1" customWidth="1"/>
    <col min="16135" max="16135" width="14.5703125" style="254" bestFit="1" customWidth="1"/>
    <col min="16136" max="16384" width="9.140625" style="254"/>
  </cols>
  <sheetData>
    <row r="1" spans="1:9" ht="20.100000000000001" customHeight="1" x14ac:dyDescent="0.25">
      <c r="A1" s="251"/>
      <c r="B1" s="251"/>
      <c r="C1" s="251"/>
      <c r="D1" s="252"/>
      <c r="E1" s="252"/>
      <c r="F1" s="252"/>
    </row>
    <row r="2" spans="1:9" ht="20.100000000000001" customHeight="1" x14ac:dyDescent="0.25">
      <c r="A2" s="251"/>
      <c r="B2" s="251"/>
      <c r="C2" s="251"/>
      <c r="D2" s="252"/>
      <c r="E2" s="252"/>
      <c r="F2" s="252"/>
    </row>
    <row r="3" spans="1:9" ht="20.100000000000001" customHeight="1" x14ac:dyDescent="0.25">
      <c r="A3" s="251"/>
      <c r="B3" s="251"/>
      <c r="C3" s="251"/>
      <c r="D3" s="252"/>
      <c r="E3" s="252"/>
      <c r="F3" s="252"/>
    </row>
    <row r="4" spans="1:9" ht="20.100000000000001" customHeight="1" x14ac:dyDescent="0.25">
      <c r="A4" s="255"/>
      <c r="B4" s="251"/>
      <c r="C4" s="251"/>
      <c r="D4" s="252"/>
      <c r="E4" s="252"/>
      <c r="F4" s="252"/>
    </row>
    <row r="5" spans="1:9" ht="20.100000000000001" customHeight="1" x14ac:dyDescent="0.25">
      <c r="A5" s="251"/>
      <c r="B5" s="251"/>
      <c r="C5" s="251"/>
      <c r="D5" s="252"/>
      <c r="E5" s="252"/>
      <c r="F5" s="252"/>
    </row>
    <row r="6" spans="1:9" ht="20.100000000000001" customHeight="1" x14ac:dyDescent="0.25">
      <c r="A6" s="255" t="s">
        <v>278</v>
      </c>
      <c r="B6" s="251"/>
      <c r="C6" s="251"/>
      <c r="D6" s="252"/>
      <c r="E6" s="252"/>
      <c r="F6" s="252"/>
    </row>
    <row r="7" spans="1:9" ht="20.100000000000001" customHeight="1" x14ac:dyDescent="0.25">
      <c r="A7" s="255"/>
      <c r="B7" s="251"/>
      <c r="C7" s="251"/>
      <c r="D7" s="252"/>
      <c r="E7" s="252"/>
      <c r="F7" s="252"/>
    </row>
    <row r="8" spans="1:9" s="100" customFormat="1" ht="31.5" x14ac:dyDescent="0.25">
      <c r="A8" s="256" t="s">
        <v>279</v>
      </c>
      <c r="B8" s="257" t="s">
        <v>280</v>
      </c>
      <c r="C8" s="258"/>
      <c r="D8" s="258"/>
      <c r="E8" s="252"/>
      <c r="F8" s="259"/>
      <c r="G8" s="260"/>
    </row>
    <row r="9" spans="1:9" s="100" customFormat="1" ht="31.5" x14ac:dyDescent="0.25">
      <c r="A9" s="261" t="s">
        <v>281</v>
      </c>
      <c r="B9" s="257" t="s">
        <v>282</v>
      </c>
      <c r="C9" s="258"/>
      <c r="D9" s="258"/>
      <c r="E9" s="252"/>
      <c r="F9" s="259"/>
      <c r="G9" s="260"/>
    </row>
    <row r="10" spans="1:9" s="100" customFormat="1" x14ac:dyDescent="0.25">
      <c r="A10" s="106"/>
      <c r="B10" s="106"/>
      <c r="C10" s="106"/>
      <c r="D10" s="106"/>
      <c r="E10" s="106"/>
      <c r="F10" s="262"/>
      <c r="G10" s="260"/>
    </row>
    <row r="11" spans="1:9" s="100" customFormat="1" x14ac:dyDescent="0.25">
      <c r="A11" s="98"/>
      <c r="B11" s="98"/>
      <c r="C11" s="98"/>
      <c r="D11" s="98"/>
      <c r="E11" s="263" t="s">
        <v>283</v>
      </c>
      <c r="F11" s="264"/>
      <c r="G11" s="260"/>
    </row>
    <row r="12" spans="1:9" s="100" customFormat="1" x14ac:dyDescent="0.25">
      <c r="A12" s="98"/>
      <c r="B12" s="98"/>
      <c r="C12" s="98"/>
      <c r="D12" s="98"/>
      <c r="E12" s="265"/>
      <c r="F12" s="266"/>
      <c r="G12" s="260"/>
    </row>
    <row r="13" spans="1:9" s="272" customFormat="1" ht="20.100000000000001" customHeight="1" x14ac:dyDescent="0.25">
      <c r="A13" s="267" t="s">
        <v>1</v>
      </c>
      <c r="B13" s="267" t="s">
        <v>284</v>
      </c>
      <c r="C13" s="267" t="s">
        <v>26</v>
      </c>
      <c r="D13" s="268" t="s">
        <v>285</v>
      </c>
      <c r="E13" s="269" t="s">
        <v>286</v>
      </c>
      <c r="F13" s="270" t="s">
        <v>287</v>
      </c>
      <c r="G13" s="271"/>
      <c r="H13" s="125"/>
      <c r="I13" s="125"/>
    </row>
    <row r="14" spans="1:9" s="272" customFormat="1" ht="20.100000000000001" customHeight="1" x14ac:dyDescent="0.25">
      <c r="A14" s="267" t="s">
        <v>288</v>
      </c>
      <c r="B14" s="273" t="s">
        <v>225</v>
      </c>
      <c r="C14" s="267"/>
      <c r="D14" s="267"/>
      <c r="E14" s="269"/>
      <c r="F14" s="270"/>
      <c r="G14" s="274"/>
      <c r="H14" s="261"/>
      <c r="I14" s="261"/>
    </row>
    <row r="15" spans="1:9" ht="20.100000000000001" customHeight="1" x14ac:dyDescent="0.25">
      <c r="A15" s="61" t="s">
        <v>289</v>
      </c>
      <c r="B15" s="275" t="s">
        <v>290</v>
      </c>
      <c r="C15" s="61" t="s">
        <v>205</v>
      </c>
      <c r="D15" s="61">
        <v>2200</v>
      </c>
      <c r="E15" s="59">
        <v>4825</v>
      </c>
      <c r="F15" s="276">
        <f>+E15*D15</f>
        <v>10615000</v>
      </c>
      <c r="H15" s="277"/>
      <c r="I15" s="277"/>
    </row>
    <row r="16" spans="1:9" ht="20.100000000000001" customHeight="1" x14ac:dyDescent="0.25">
      <c r="A16" s="61" t="s">
        <v>291</v>
      </c>
      <c r="B16" s="275" t="s">
        <v>292</v>
      </c>
      <c r="C16" s="61" t="s">
        <v>205</v>
      </c>
      <c r="D16" s="61">
        <v>2200</v>
      </c>
      <c r="E16" s="59">
        <v>2475</v>
      </c>
      <c r="F16" s="276">
        <f t="shared" ref="F16:F79" si="0">+E16*D16</f>
        <v>5445000</v>
      </c>
      <c r="H16" s="277"/>
      <c r="I16" s="277"/>
    </row>
    <row r="17" spans="1:9" ht="20.100000000000001" customHeight="1" x14ac:dyDescent="0.25">
      <c r="A17" s="61" t="s">
        <v>293</v>
      </c>
      <c r="B17" s="275" t="s">
        <v>294</v>
      </c>
      <c r="C17" s="61" t="s">
        <v>205</v>
      </c>
      <c r="D17" s="61">
        <v>200</v>
      </c>
      <c r="E17" s="59">
        <v>965</v>
      </c>
      <c r="F17" s="276">
        <f t="shared" si="0"/>
        <v>193000</v>
      </c>
      <c r="H17" s="277"/>
      <c r="I17" s="277"/>
    </row>
    <row r="18" spans="1:9" ht="20.100000000000001" customHeight="1" x14ac:dyDescent="0.25">
      <c r="A18" s="61" t="s">
        <v>295</v>
      </c>
      <c r="B18" s="275" t="s">
        <v>296</v>
      </c>
      <c r="C18" s="61" t="s">
        <v>203</v>
      </c>
      <c r="D18" s="61">
        <v>300</v>
      </c>
      <c r="E18" s="59">
        <v>2600</v>
      </c>
      <c r="F18" s="276">
        <f t="shared" si="0"/>
        <v>780000</v>
      </c>
      <c r="H18" s="277"/>
      <c r="I18" s="277"/>
    </row>
    <row r="19" spans="1:9" ht="20.100000000000001" customHeight="1" x14ac:dyDescent="0.25">
      <c r="A19" s="61" t="s">
        <v>297</v>
      </c>
      <c r="B19" s="275" t="s">
        <v>298</v>
      </c>
      <c r="C19" s="61" t="s">
        <v>203</v>
      </c>
      <c r="D19" s="61">
        <v>300</v>
      </c>
      <c r="E19" s="59">
        <v>4065</v>
      </c>
      <c r="F19" s="276">
        <f t="shared" si="0"/>
        <v>1219500</v>
      </c>
      <c r="H19" s="277"/>
      <c r="I19" s="277"/>
    </row>
    <row r="20" spans="1:9" ht="20.100000000000001" customHeight="1" x14ac:dyDescent="0.25">
      <c r="A20" s="61" t="s">
        <v>299</v>
      </c>
      <c r="B20" s="275" t="s">
        <v>218</v>
      </c>
      <c r="C20" s="61" t="s">
        <v>205</v>
      </c>
      <c r="D20" s="61">
        <v>3600</v>
      </c>
      <c r="E20" s="59">
        <v>1500</v>
      </c>
      <c r="F20" s="276">
        <f t="shared" si="0"/>
        <v>5400000</v>
      </c>
      <c r="H20" s="277"/>
      <c r="I20" s="277"/>
    </row>
    <row r="21" spans="1:9" ht="20.100000000000001" customHeight="1" x14ac:dyDescent="0.25">
      <c r="A21" s="61" t="s">
        <v>300</v>
      </c>
      <c r="B21" s="275" t="s">
        <v>202</v>
      </c>
      <c r="C21" s="61" t="s">
        <v>205</v>
      </c>
      <c r="D21" s="61">
        <v>300</v>
      </c>
      <c r="E21" s="59">
        <v>145</v>
      </c>
      <c r="F21" s="276">
        <f t="shared" si="0"/>
        <v>43500</v>
      </c>
      <c r="H21" s="277"/>
      <c r="I21" s="277"/>
    </row>
    <row r="22" spans="1:9" ht="20.100000000000001" customHeight="1" x14ac:dyDescent="0.25">
      <c r="A22" s="61" t="s">
        <v>301</v>
      </c>
      <c r="B22" s="275" t="s">
        <v>219</v>
      </c>
      <c r="C22" s="61" t="s">
        <v>203</v>
      </c>
      <c r="D22" s="61">
        <v>50</v>
      </c>
      <c r="E22" s="59">
        <f>5000+2500+1000</f>
        <v>8500</v>
      </c>
      <c r="F22" s="276">
        <f t="shared" si="0"/>
        <v>425000</v>
      </c>
      <c r="H22" s="277"/>
      <c r="I22" s="277"/>
    </row>
    <row r="23" spans="1:9" ht="20.100000000000001" customHeight="1" x14ac:dyDescent="0.25">
      <c r="A23" s="61" t="s">
        <v>302</v>
      </c>
      <c r="B23" s="275" t="s">
        <v>220</v>
      </c>
      <c r="C23" s="61" t="s">
        <v>203</v>
      </c>
      <c r="D23" s="61">
        <v>50</v>
      </c>
      <c r="E23" s="59">
        <v>2850</v>
      </c>
      <c r="F23" s="276">
        <f t="shared" si="0"/>
        <v>142500</v>
      </c>
      <c r="H23" s="277"/>
      <c r="I23" s="277"/>
    </row>
    <row r="24" spans="1:9" ht="20.100000000000001" customHeight="1" x14ac:dyDescent="0.25">
      <c r="A24" s="61" t="s">
        <v>303</v>
      </c>
      <c r="B24" s="275" t="s">
        <v>304</v>
      </c>
      <c r="C24" s="61" t="s">
        <v>203</v>
      </c>
      <c r="D24" s="61">
        <v>50</v>
      </c>
      <c r="E24" s="59">
        <v>15000</v>
      </c>
      <c r="F24" s="278">
        <f>+D24*E24</f>
        <v>750000</v>
      </c>
      <c r="H24" s="277"/>
      <c r="I24" s="277"/>
    </row>
    <row r="25" spans="1:9" ht="20.100000000000001" customHeight="1" x14ac:dyDescent="0.25">
      <c r="A25" s="61" t="s">
        <v>305</v>
      </c>
      <c r="B25" s="275" t="s">
        <v>306</v>
      </c>
      <c r="C25" s="61" t="s">
        <v>205</v>
      </c>
      <c r="D25" s="61">
        <v>2200</v>
      </c>
      <c r="E25" s="59">
        <v>12500</v>
      </c>
      <c r="F25" s="278">
        <f t="shared" ref="F25:F28" si="1">+D25*E25</f>
        <v>27500000</v>
      </c>
      <c r="H25" s="277"/>
      <c r="I25" s="277"/>
    </row>
    <row r="26" spans="1:9" ht="20.100000000000001" customHeight="1" x14ac:dyDescent="0.25">
      <c r="A26" s="61" t="s">
        <v>307</v>
      </c>
      <c r="B26" s="275" t="s">
        <v>223</v>
      </c>
      <c r="C26" s="61" t="s">
        <v>205</v>
      </c>
      <c r="D26" s="61">
        <v>300</v>
      </c>
      <c r="E26" s="59">
        <v>1500</v>
      </c>
      <c r="F26" s="278">
        <f t="shared" si="1"/>
        <v>450000</v>
      </c>
      <c r="H26" s="277"/>
      <c r="I26" s="277"/>
    </row>
    <row r="27" spans="1:9" ht="20.100000000000001" customHeight="1" x14ac:dyDescent="0.25">
      <c r="A27" s="61" t="s">
        <v>308</v>
      </c>
      <c r="B27" s="275" t="s">
        <v>309</v>
      </c>
      <c r="C27" s="61" t="s">
        <v>203</v>
      </c>
      <c r="D27" s="61">
        <v>10</v>
      </c>
      <c r="E27" s="59">
        <v>25000</v>
      </c>
      <c r="F27" s="278">
        <f t="shared" si="1"/>
        <v>250000</v>
      </c>
      <c r="H27" s="277"/>
      <c r="I27" s="277"/>
    </row>
    <row r="28" spans="1:9" ht="20.100000000000001" customHeight="1" x14ac:dyDescent="0.25">
      <c r="A28" s="61" t="s">
        <v>310</v>
      </c>
      <c r="B28" s="275" t="s">
        <v>311</v>
      </c>
      <c r="C28" s="61" t="s">
        <v>203</v>
      </c>
      <c r="D28" s="61">
        <v>40</v>
      </c>
      <c r="E28" s="59">
        <v>20000</v>
      </c>
      <c r="F28" s="278">
        <f t="shared" si="1"/>
        <v>800000</v>
      </c>
      <c r="H28" s="277"/>
      <c r="I28" s="277"/>
    </row>
    <row r="29" spans="1:9" s="272" customFormat="1" ht="20.100000000000001" customHeight="1" x14ac:dyDescent="0.25">
      <c r="A29" s="267" t="s">
        <v>312</v>
      </c>
      <c r="B29" s="273" t="s">
        <v>226</v>
      </c>
      <c r="C29" s="267"/>
      <c r="D29" s="267"/>
      <c r="E29" s="269"/>
      <c r="F29" s="276">
        <f t="shared" si="0"/>
        <v>0</v>
      </c>
      <c r="G29" s="274"/>
      <c r="H29" s="261"/>
      <c r="I29" s="261"/>
    </row>
    <row r="30" spans="1:9" ht="20.100000000000001" customHeight="1" x14ac:dyDescent="0.25">
      <c r="A30" s="61" t="s">
        <v>313</v>
      </c>
      <c r="B30" s="275" t="s">
        <v>290</v>
      </c>
      <c r="C30" s="61" t="s">
        <v>205</v>
      </c>
      <c r="D30" s="61">
        <v>2000</v>
      </c>
      <c r="E30" s="59">
        <v>4825</v>
      </c>
      <c r="F30" s="276">
        <f t="shared" si="0"/>
        <v>9650000</v>
      </c>
      <c r="H30" s="277"/>
      <c r="I30" s="277"/>
    </row>
    <row r="31" spans="1:9" ht="20.100000000000001" customHeight="1" x14ac:dyDescent="0.25">
      <c r="A31" s="61" t="s">
        <v>314</v>
      </c>
      <c r="B31" s="275" t="s">
        <v>292</v>
      </c>
      <c r="C31" s="61" t="s">
        <v>205</v>
      </c>
      <c r="D31" s="61">
        <v>2000</v>
      </c>
      <c r="E31" s="59">
        <v>2475</v>
      </c>
      <c r="F31" s="276">
        <f t="shared" si="0"/>
        <v>4950000</v>
      </c>
      <c r="H31" s="277"/>
      <c r="I31" s="277"/>
    </row>
    <row r="32" spans="1:9" ht="20.100000000000001" customHeight="1" x14ac:dyDescent="0.25">
      <c r="A32" s="61" t="s">
        <v>315</v>
      </c>
      <c r="B32" s="275" t="s">
        <v>294</v>
      </c>
      <c r="C32" s="61" t="s">
        <v>205</v>
      </c>
      <c r="D32" s="61">
        <v>150</v>
      </c>
      <c r="E32" s="59">
        <v>965</v>
      </c>
      <c r="F32" s="276">
        <f t="shared" si="0"/>
        <v>144750</v>
      </c>
      <c r="H32" s="277"/>
      <c r="I32" s="277"/>
    </row>
    <row r="33" spans="1:9" ht="20.100000000000001" customHeight="1" x14ac:dyDescent="0.25">
      <c r="A33" s="61" t="s">
        <v>316</v>
      </c>
      <c r="B33" s="275" t="s">
        <v>216</v>
      </c>
      <c r="C33" s="61" t="s">
        <v>203</v>
      </c>
      <c r="D33" s="61">
        <v>210</v>
      </c>
      <c r="E33" s="59">
        <v>2600</v>
      </c>
      <c r="F33" s="276">
        <f t="shared" si="0"/>
        <v>546000</v>
      </c>
      <c r="H33" s="277"/>
      <c r="I33" s="277"/>
    </row>
    <row r="34" spans="1:9" ht="20.100000000000001" customHeight="1" x14ac:dyDescent="0.25">
      <c r="A34" s="61" t="s">
        <v>317</v>
      </c>
      <c r="B34" s="275" t="s">
        <v>318</v>
      </c>
      <c r="C34" s="61" t="s">
        <v>203</v>
      </c>
      <c r="D34" s="61">
        <v>210</v>
      </c>
      <c r="E34" s="59">
        <v>4065</v>
      </c>
      <c r="F34" s="276">
        <f t="shared" si="0"/>
        <v>853650</v>
      </c>
      <c r="H34" s="277"/>
      <c r="I34" s="277"/>
    </row>
    <row r="35" spans="1:9" ht="20.100000000000001" customHeight="1" x14ac:dyDescent="0.25">
      <c r="A35" s="61" t="s">
        <v>319</v>
      </c>
      <c r="B35" s="275" t="s">
        <v>218</v>
      </c>
      <c r="C35" s="61" t="s">
        <v>205</v>
      </c>
      <c r="D35" s="61">
        <v>3150</v>
      </c>
      <c r="E35" s="59">
        <v>1500</v>
      </c>
      <c r="F35" s="276">
        <f t="shared" si="0"/>
        <v>4725000</v>
      </c>
      <c r="H35" s="277"/>
      <c r="I35" s="277"/>
    </row>
    <row r="36" spans="1:9" ht="20.100000000000001" customHeight="1" x14ac:dyDescent="0.25">
      <c r="A36" s="61" t="s">
        <v>320</v>
      </c>
      <c r="B36" s="275" t="s">
        <v>202</v>
      </c>
      <c r="C36" s="61" t="s">
        <v>205</v>
      </c>
      <c r="D36" s="61">
        <v>250</v>
      </c>
      <c r="E36" s="59">
        <v>145</v>
      </c>
      <c r="F36" s="276">
        <f t="shared" si="0"/>
        <v>36250</v>
      </c>
      <c r="H36" s="277"/>
      <c r="I36" s="277"/>
    </row>
    <row r="37" spans="1:9" ht="20.100000000000001" customHeight="1" x14ac:dyDescent="0.25">
      <c r="A37" s="61" t="s">
        <v>321</v>
      </c>
      <c r="B37" s="275" t="s">
        <v>219</v>
      </c>
      <c r="C37" s="61" t="s">
        <v>203</v>
      </c>
      <c r="D37" s="61">
        <v>41</v>
      </c>
      <c r="E37" s="59">
        <v>8500</v>
      </c>
      <c r="F37" s="276">
        <f t="shared" si="0"/>
        <v>348500</v>
      </c>
      <c r="H37" s="277"/>
      <c r="I37" s="277"/>
    </row>
    <row r="38" spans="1:9" ht="20.100000000000001" customHeight="1" x14ac:dyDescent="0.25">
      <c r="A38" s="61" t="s">
        <v>322</v>
      </c>
      <c r="B38" s="275" t="s">
        <v>220</v>
      </c>
      <c r="C38" s="61" t="s">
        <v>203</v>
      </c>
      <c r="D38" s="61">
        <v>41</v>
      </c>
      <c r="E38" s="59">
        <v>2850</v>
      </c>
      <c r="F38" s="276">
        <f t="shared" si="0"/>
        <v>116850</v>
      </c>
      <c r="H38" s="277"/>
      <c r="I38" s="277"/>
    </row>
    <row r="39" spans="1:9" ht="20.100000000000001" customHeight="1" x14ac:dyDescent="0.25">
      <c r="A39" s="61" t="s">
        <v>323</v>
      </c>
      <c r="B39" s="275" t="s">
        <v>304</v>
      </c>
      <c r="C39" s="61" t="s">
        <v>203</v>
      </c>
      <c r="D39" s="61">
        <v>41</v>
      </c>
      <c r="E39" s="59">
        <v>15000</v>
      </c>
      <c r="F39" s="278">
        <f t="shared" ref="F39:F43" si="2">+D39*E39</f>
        <v>615000</v>
      </c>
      <c r="H39" s="277"/>
      <c r="I39" s="277"/>
    </row>
    <row r="40" spans="1:9" ht="20.100000000000001" customHeight="1" x14ac:dyDescent="0.25">
      <c r="A40" s="61" t="s">
        <v>324</v>
      </c>
      <c r="B40" s="275" t="s">
        <v>222</v>
      </c>
      <c r="C40" s="61" t="s">
        <v>205</v>
      </c>
      <c r="D40" s="61">
        <v>1575</v>
      </c>
      <c r="E40" s="59">
        <v>12500</v>
      </c>
      <c r="F40" s="278">
        <f t="shared" si="2"/>
        <v>19687500</v>
      </c>
      <c r="H40" s="277"/>
      <c r="I40" s="277"/>
    </row>
    <row r="41" spans="1:9" ht="20.100000000000001" customHeight="1" x14ac:dyDescent="0.25">
      <c r="A41" s="61" t="s">
        <v>325</v>
      </c>
      <c r="B41" s="275" t="s">
        <v>311</v>
      </c>
      <c r="C41" s="61" t="s">
        <v>203</v>
      </c>
      <c r="D41" s="61">
        <v>41</v>
      </c>
      <c r="E41" s="59">
        <v>25000</v>
      </c>
      <c r="F41" s="278">
        <f t="shared" si="2"/>
        <v>1025000</v>
      </c>
      <c r="H41" s="277"/>
      <c r="I41" s="277"/>
    </row>
    <row r="42" spans="1:9" ht="20.100000000000001" customHeight="1" x14ac:dyDescent="0.25">
      <c r="A42" s="61" t="s">
        <v>326</v>
      </c>
      <c r="B42" s="275" t="s">
        <v>223</v>
      </c>
      <c r="C42" s="61" t="s">
        <v>205</v>
      </c>
      <c r="D42" s="61">
        <v>250</v>
      </c>
      <c r="E42" s="59">
        <v>1500</v>
      </c>
      <c r="F42" s="278">
        <f t="shared" si="2"/>
        <v>375000</v>
      </c>
      <c r="H42" s="277"/>
      <c r="I42" s="277"/>
    </row>
    <row r="43" spans="1:9" ht="20.100000000000001" customHeight="1" x14ac:dyDescent="0.25">
      <c r="A43" s="61" t="s">
        <v>327</v>
      </c>
      <c r="B43" s="275" t="s">
        <v>328</v>
      </c>
      <c r="C43" s="61" t="s">
        <v>329</v>
      </c>
      <c r="D43" s="61">
        <v>20</v>
      </c>
      <c r="E43" s="59">
        <v>95000</v>
      </c>
      <c r="F43" s="278">
        <f t="shared" si="2"/>
        <v>1900000</v>
      </c>
      <c r="H43" s="277"/>
      <c r="I43" s="277"/>
    </row>
    <row r="44" spans="1:9" s="272" customFormat="1" ht="20.100000000000001" customHeight="1" x14ac:dyDescent="0.25">
      <c r="A44" s="267" t="s">
        <v>330</v>
      </c>
      <c r="B44" s="273" t="s">
        <v>227</v>
      </c>
      <c r="C44" s="267"/>
      <c r="D44" s="61"/>
      <c r="E44" s="269"/>
      <c r="F44" s="276">
        <f t="shared" si="0"/>
        <v>0</v>
      </c>
      <c r="G44" s="274"/>
      <c r="H44" s="261"/>
      <c r="I44" s="261"/>
    </row>
    <row r="45" spans="1:9" ht="20.100000000000001" customHeight="1" x14ac:dyDescent="0.25">
      <c r="A45" s="61" t="s">
        <v>331</v>
      </c>
      <c r="B45" s="275" t="s">
        <v>290</v>
      </c>
      <c r="C45" s="61" t="s">
        <v>205</v>
      </c>
      <c r="D45" s="61">
        <f>1400+500</f>
        <v>1900</v>
      </c>
      <c r="E45" s="59">
        <v>4825</v>
      </c>
      <c r="F45" s="276">
        <f t="shared" si="0"/>
        <v>9167500</v>
      </c>
      <c r="H45" s="277"/>
      <c r="I45" s="277"/>
    </row>
    <row r="46" spans="1:9" ht="20.100000000000001" customHeight="1" x14ac:dyDescent="0.25">
      <c r="A46" s="61" t="s">
        <v>332</v>
      </c>
      <c r="B46" s="275" t="s">
        <v>292</v>
      </c>
      <c r="C46" s="61" t="s">
        <v>205</v>
      </c>
      <c r="D46" s="61">
        <v>1900</v>
      </c>
      <c r="E46" s="59">
        <v>2475</v>
      </c>
      <c r="F46" s="276">
        <f t="shared" si="0"/>
        <v>4702500</v>
      </c>
      <c r="H46" s="277"/>
      <c r="I46" s="277"/>
    </row>
    <row r="47" spans="1:9" ht="20.100000000000001" customHeight="1" x14ac:dyDescent="0.25">
      <c r="A47" s="61" t="s">
        <v>333</v>
      </c>
      <c r="B47" s="275" t="s">
        <v>334</v>
      </c>
      <c r="C47" s="61" t="s">
        <v>205</v>
      </c>
      <c r="D47" s="61">
        <v>150</v>
      </c>
      <c r="E47" s="59">
        <v>965</v>
      </c>
      <c r="F47" s="276">
        <f t="shared" si="0"/>
        <v>144750</v>
      </c>
      <c r="H47" s="277"/>
      <c r="I47" s="277"/>
    </row>
    <row r="48" spans="1:9" ht="20.100000000000001" customHeight="1" x14ac:dyDescent="0.25">
      <c r="A48" s="61" t="s">
        <v>335</v>
      </c>
      <c r="B48" s="275" t="s">
        <v>216</v>
      </c>
      <c r="C48" s="61" t="s">
        <v>203</v>
      </c>
      <c r="D48" s="61">
        <v>210</v>
      </c>
      <c r="E48" s="59">
        <v>2600</v>
      </c>
      <c r="F48" s="276">
        <f t="shared" si="0"/>
        <v>546000</v>
      </c>
      <c r="H48" s="277"/>
      <c r="I48" s="277"/>
    </row>
    <row r="49" spans="1:9" ht="20.100000000000001" customHeight="1" x14ac:dyDescent="0.25">
      <c r="A49" s="61" t="s">
        <v>336</v>
      </c>
      <c r="B49" s="275" t="s">
        <v>298</v>
      </c>
      <c r="C49" s="61" t="s">
        <v>203</v>
      </c>
      <c r="D49" s="61">
        <v>210</v>
      </c>
      <c r="E49" s="59">
        <v>4065</v>
      </c>
      <c r="F49" s="276">
        <f t="shared" si="0"/>
        <v>853650</v>
      </c>
      <c r="H49" s="277"/>
      <c r="I49" s="277"/>
    </row>
    <row r="50" spans="1:9" ht="20.100000000000001" customHeight="1" x14ac:dyDescent="0.25">
      <c r="A50" s="61" t="s">
        <v>337</v>
      </c>
      <c r="B50" s="275" t="s">
        <v>218</v>
      </c>
      <c r="C50" s="61" t="s">
        <v>205</v>
      </c>
      <c r="D50" s="61">
        <v>3150</v>
      </c>
      <c r="E50" s="59">
        <v>1500</v>
      </c>
      <c r="F50" s="276">
        <f t="shared" si="0"/>
        <v>4725000</v>
      </c>
      <c r="H50" s="277"/>
      <c r="I50" s="277"/>
    </row>
    <row r="51" spans="1:9" ht="20.100000000000001" customHeight="1" x14ac:dyDescent="0.25">
      <c r="A51" s="61" t="s">
        <v>338</v>
      </c>
      <c r="B51" s="275" t="s">
        <v>202</v>
      </c>
      <c r="C51" s="61" t="s">
        <v>205</v>
      </c>
      <c r="D51" s="61">
        <v>500</v>
      </c>
      <c r="E51" s="59">
        <v>145</v>
      </c>
      <c r="F51" s="276">
        <f t="shared" si="0"/>
        <v>72500</v>
      </c>
      <c r="H51" s="277"/>
      <c r="I51" s="277"/>
    </row>
    <row r="52" spans="1:9" ht="20.100000000000001" customHeight="1" x14ac:dyDescent="0.25">
      <c r="A52" s="61" t="s">
        <v>339</v>
      </c>
      <c r="B52" s="275" t="s">
        <v>219</v>
      </c>
      <c r="C52" s="61" t="s">
        <v>203</v>
      </c>
      <c r="D52" s="61">
        <v>16</v>
      </c>
      <c r="E52" s="59">
        <v>8500</v>
      </c>
      <c r="F52" s="276">
        <f t="shared" si="0"/>
        <v>136000</v>
      </c>
      <c r="H52" s="277"/>
      <c r="I52" s="277"/>
    </row>
    <row r="53" spans="1:9" ht="20.100000000000001" customHeight="1" x14ac:dyDescent="0.25">
      <c r="A53" s="61" t="s">
        <v>340</v>
      </c>
      <c r="B53" s="275" t="s">
        <v>220</v>
      </c>
      <c r="C53" s="61" t="s">
        <v>203</v>
      </c>
      <c r="D53" s="61">
        <v>16</v>
      </c>
      <c r="E53" s="59">
        <v>2850</v>
      </c>
      <c r="F53" s="276">
        <f t="shared" si="0"/>
        <v>45600</v>
      </c>
      <c r="H53" s="277"/>
      <c r="I53" s="277"/>
    </row>
    <row r="54" spans="1:9" ht="20.100000000000001" customHeight="1" x14ac:dyDescent="0.25">
      <c r="A54" s="61" t="s">
        <v>341</v>
      </c>
      <c r="B54" s="275" t="s">
        <v>304</v>
      </c>
      <c r="C54" s="61" t="s">
        <v>203</v>
      </c>
      <c r="D54" s="61">
        <v>16</v>
      </c>
      <c r="E54" s="59">
        <v>12500</v>
      </c>
      <c r="F54" s="278">
        <f t="shared" ref="F54:F58" si="3">+D54*E54</f>
        <v>200000</v>
      </c>
      <c r="H54" s="277"/>
      <c r="I54" s="277"/>
    </row>
    <row r="55" spans="1:9" ht="20.100000000000001" customHeight="1" x14ac:dyDescent="0.25">
      <c r="A55" s="61" t="s">
        <v>342</v>
      </c>
      <c r="B55" s="275" t="s">
        <v>222</v>
      </c>
      <c r="C55" s="61" t="s">
        <v>205</v>
      </c>
      <c r="D55" s="61">
        <v>700</v>
      </c>
      <c r="E55" s="59">
        <v>12500</v>
      </c>
      <c r="F55" s="278">
        <f t="shared" si="3"/>
        <v>8750000</v>
      </c>
      <c r="H55" s="277"/>
      <c r="I55" s="277"/>
    </row>
    <row r="56" spans="1:9" ht="20.100000000000001" customHeight="1" x14ac:dyDescent="0.25">
      <c r="A56" s="61" t="s">
        <v>343</v>
      </c>
      <c r="B56" s="275" t="s">
        <v>223</v>
      </c>
      <c r="C56" s="61" t="s">
        <v>205</v>
      </c>
      <c r="D56" s="61">
        <v>500</v>
      </c>
      <c r="E56" s="59">
        <v>1500</v>
      </c>
      <c r="F56" s="278">
        <f t="shared" si="3"/>
        <v>750000</v>
      </c>
      <c r="H56" s="277"/>
      <c r="I56" s="277"/>
    </row>
    <row r="57" spans="1:9" ht="20.100000000000001" customHeight="1" x14ac:dyDescent="0.25">
      <c r="A57" s="61" t="s">
        <v>344</v>
      </c>
      <c r="B57" s="275" t="s">
        <v>311</v>
      </c>
      <c r="C57" s="61" t="s">
        <v>203</v>
      </c>
      <c r="D57" s="61">
        <v>16</v>
      </c>
      <c r="E57" s="59">
        <v>25000</v>
      </c>
      <c r="F57" s="278">
        <f t="shared" si="3"/>
        <v>400000</v>
      </c>
      <c r="H57" s="277"/>
      <c r="I57" s="277"/>
    </row>
    <row r="58" spans="1:9" ht="20.100000000000001" customHeight="1" x14ac:dyDescent="0.25">
      <c r="A58" s="61" t="s">
        <v>345</v>
      </c>
      <c r="B58" s="275" t="s">
        <v>328</v>
      </c>
      <c r="C58" s="61" t="s">
        <v>329</v>
      </c>
      <c r="D58" s="61">
        <v>20</v>
      </c>
      <c r="E58" s="59">
        <v>95000</v>
      </c>
      <c r="F58" s="278">
        <f t="shared" si="3"/>
        <v>1900000</v>
      </c>
      <c r="H58" s="277"/>
      <c r="I58" s="277"/>
    </row>
    <row r="59" spans="1:9" s="272" customFormat="1" ht="20.100000000000001" customHeight="1" x14ac:dyDescent="0.25">
      <c r="A59" s="267" t="s">
        <v>346</v>
      </c>
      <c r="B59" s="273" t="s">
        <v>262</v>
      </c>
      <c r="C59" s="267"/>
      <c r="D59" s="267"/>
      <c r="E59" s="269"/>
      <c r="F59" s="276">
        <f t="shared" si="0"/>
        <v>0</v>
      </c>
      <c r="G59" s="274"/>
      <c r="H59" s="261"/>
      <c r="I59" s="261"/>
    </row>
    <row r="60" spans="1:9" ht="20.100000000000001" customHeight="1" x14ac:dyDescent="0.25">
      <c r="A60" s="61" t="s">
        <v>347</v>
      </c>
      <c r="B60" s="275" t="s">
        <v>292</v>
      </c>
      <c r="C60" s="61" t="s">
        <v>205</v>
      </c>
      <c r="D60" s="61">
        <v>200</v>
      </c>
      <c r="E60" s="59">
        <v>2475</v>
      </c>
      <c r="F60" s="276">
        <f t="shared" si="0"/>
        <v>495000</v>
      </c>
      <c r="H60" s="277"/>
      <c r="I60" s="277"/>
    </row>
    <row r="61" spans="1:9" ht="20.100000000000001" customHeight="1" x14ac:dyDescent="0.25">
      <c r="A61" s="61" t="s">
        <v>348</v>
      </c>
      <c r="B61" s="275" t="s">
        <v>229</v>
      </c>
      <c r="C61" s="61" t="s">
        <v>203</v>
      </c>
      <c r="D61" s="61">
        <v>9</v>
      </c>
      <c r="E61" s="59">
        <v>20917</v>
      </c>
      <c r="F61" s="276">
        <f t="shared" si="0"/>
        <v>188253</v>
      </c>
      <c r="H61" s="277"/>
      <c r="I61" s="277"/>
    </row>
    <row r="62" spans="1:9" ht="20.100000000000001" customHeight="1" x14ac:dyDescent="0.25">
      <c r="A62" s="61" t="s">
        <v>349</v>
      </c>
      <c r="B62" s="275" t="s">
        <v>350</v>
      </c>
      <c r="C62" s="61" t="s">
        <v>205</v>
      </c>
      <c r="D62" s="61">
        <v>9</v>
      </c>
      <c r="E62" s="59">
        <v>4920</v>
      </c>
      <c r="F62" s="276">
        <f t="shared" si="0"/>
        <v>44280</v>
      </c>
      <c r="H62" s="277"/>
      <c r="I62" s="277"/>
    </row>
    <row r="63" spans="1:9" ht="20.100000000000001" customHeight="1" x14ac:dyDescent="0.25">
      <c r="A63" s="61" t="s">
        <v>351</v>
      </c>
      <c r="B63" s="275" t="s">
        <v>231</v>
      </c>
      <c r="C63" s="61" t="s">
        <v>203</v>
      </c>
      <c r="D63" s="61">
        <v>2</v>
      </c>
      <c r="E63" s="59">
        <v>3500</v>
      </c>
      <c r="F63" s="276">
        <f t="shared" si="0"/>
        <v>7000</v>
      </c>
      <c r="H63" s="277"/>
      <c r="I63" s="277"/>
    </row>
    <row r="64" spans="1:9" ht="20.100000000000001" customHeight="1" x14ac:dyDescent="0.25">
      <c r="A64" s="61" t="s">
        <v>352</v>
      </c>
      <c r="B64" s="275" t="s">
        <v>232</v>
      </c>
      <c r="C64" s="61" t="s">
        <v>203</v>
      </c>
      <c r="D64" s="61">
        <v>1</v>
      </c>
      <c r="E64" s="59">
        <v>6953</v>
      </c>
      <c r="F64" s="276">
        <f t="shared" si="0"/>
        <v>6953</v>
      </c>
      <c r="H64" s="277"/>
      <c r="I64" s="277"/>
    </row>
    <row r="65" spans="1:9" ht="20.100000000000001" customHeight="1" x14ac:dyDescent="0.25">
      <c r="A65" s="61" t="s">
        <v>353</v>
      </c>
      <c r="B65" s="275" t="s">
        <v>233</v>
      </c>
      <c r="C65" s="61" t="s">
        <v>203</v>
      </c>
      <c r="D65" s="61">
        <v>1</v>
      </c>
      <c r="E65" s="59">
        <v>6953</v>
      </c>
      <c r="F65" s="276">
        <f t="shared" si="0"/>
        <v>6953</v>
      </c>
      <c r="H65" s="277"/>
      <c r="I65" s="277"/>
    </row>
    <row r="66" spans="1:9" ht="20.100000000000001" customHeight="1" x14ac:dyDescent="0.25">
      <c r="A66" s="61" t="s">
        <v>354</v>
      </c>
      <c r="B66" s="275" t="s">
        <v>234</v>
      </c>
      <c r="C66" s="61" t="s">
        <v>203</v>
      </c>
      <c r="D66" s="61">
        <v>6</v>
      </c>
      <c r="E66" s="59">
        <v>2500</v>
      </c>
      <c r="F66" s="276">
        <f t="shared" si="0"/>
        <v>15000</v>
      </c>
      <c r="H66" s="277"/>
      <c r="I66" s="277"/>
    </row>
    <row r="67" spans="1:9" ht="20.100000000000001" customHeight="1" x14ac:dyDescent="0.25">
      <c r="A67" s="61" t="s">
        <v>355</v>
      </c>
      <c r="B67" s="275" t="s">
        <v>235</v>
      </c>
      <c r="C67" s="61" t="s">
        <v>203</v>
      </c>
      <c r="D67" s="61">
        <v>3</v>
      </c>
      <c r="E67" s="59">
        <v>123750</v>
      </c>
      <c r="F67" s="276">
        <f t="shared" si="0"/>
        <v>371250</v>
      </c>
      <c r="H67" s="277"/>
      <c r="I67" s="277"/>
    </row>
    <row r="68" spans="1:9" ht="20.100000000000001" customHeight="1" x14ac:dyDescent="0.25">
      <c r="A68" s="61" t="s">
        <v>356</v>
      </c>
      <c r="B68" s="275" t="s">
        <v>357</v>
      </c>
      <c r="C68" s="61" t="s">
        <v>203</v>
      </c>
      <c r="D68" s="61">
        <v>2</v>
      </c>
      <c r="E68" s="59">
        <v>93164</v>
      </c>
      <c r="F68" s="276">
        <f t="shared" si="0"/>
        <v>186328</v>
      </c>
      <c r="H68" s="277"/>
      <c r="I68" s="277"/>
    </row>
    <row r="69" spans="1:9" ht="20.100000000000001" customHeight="1" x14ac:dyDescent="0.25">
      <c r="A69" s="61" t="s">
        <v>358</v>
      </c>
      <c r="B69" s="275" t="s">
        <v>237</v>
      </c>
      <c r="C69" s="61" t="s">
        <v>203</v>
      </c>
      <c r="D69" s="61">
        <v>6</v>
      </c>
      <c r="E69" s="59">
        <v>21142</v>
      </c>
      <c r="F69" s="276">
        <f t="shared" si="0"/>
        <v>126852</v>
      </c>
      <c r="H69" s="277"/>
      <c r="I69" s="277"/>
    </row>
    <row r="70" spans="1:9" ht="20.100000000000001" customHeight="1" x14ac:dyDescent="0.25">
      <c r="A70" s="61" t="s">
        <v>359</v>
      </c>
      <c r="B70" s="275" t="s">
        <v>238</v>
      </c>
      <c r="C70" s="61" t="s">
        <v>203</v>
      </c>
      <c r="D70" s="61">
        <v>2</v>
      </c>
      <c r="E70" s="59">
        <v>38271</v>
      </c>
      <c r="F70" s="276">
        <f t="shared" si="0"/>
        <v>76542</v>
      </c>
      <c r="H70" s="277"/>
      <c r="I70" s="277"/>
    </row>
    <row r="71" spans="1:9" ht="20.100000000000001" customHeight="1" x14ac:dyDescent="0.25">
      <c r="A71" s="61" t="s">
        <v>360</v>
      </c>
      <c r="B71" s="275" t="s">
        <v>239</v>
      </c>
      <c r="C71" s="61" t="s">
        <v>203</v>
      </c>
      <c r="D71" s="61">
        <v>2</v>
      </c>
      <c r="E71" s="59">
        <v>31376</v>
      </c>
      <c r="F71" s="276">
        <f t="shared" si="0"/>
        <v>62752</v>
      </c>
      <c r="H71" s="277"/>
      <c r="I71" s="277"/>
    </row>
    <row r="72" spans="1:9" ht="20.100000000000001" customHeight="1" x14ac:dyDescent="0.25">
      <c r="A72" s="61" t="s">
        <v>361</v>
      </c>
      <c r="B72" s="275" t="s">
        <v>240</v>
      </c>
      <c r="C72" s="61" t="s">
        <v>203</v>
      </c>
      <c r="D72" s="61">
        <v>2</v>
      </c>
      <c r="E72" s="59">
        <v>17550</v>
      </c>
      <c r="F72" s="276">
        <f t="shared" si="0"/>
        <v>35100</v>
      </c>
      <c r="H72" s="277"/>
      <c r="I72" s="277"/>
    </row>
    <row r="73" spans="1:9" ht="20.100000000000001" customHeight="1" x14ac:dyDescent="0.25">
      <c r="A73" s="61" t="s">
        <v>362</v>
      </c>
      <c r="B73" s="275" t="s">
        <v>363</v>
      </c>
      <c r="C73" s="61" t="s">
        <v>203</v>
      </c>
      <c r="D73" s="61">
        <v>2</v>
      </c>
      <c r="E73" s="59">
        <v>114726</v>
      </c>
      <c r="F73" s="276">
        <f t="shared" si="0"/>
        <v>229452</v>
      </c>
      <c r="H73" s="277"/>
      <c r="I73" s="277"/>
    </row>
    <row r="74" spans="1:9" ht="20.100000000000001" customHeight="1" x14ac:dyDescent="0.25">
      <c r="A74" s="61" t="s">
        <v>364</v>
      </c>
      <c r="B74" s="275" t="s">
        <v>242</v>
      </c>
      <c r="C74" s="61" t="s">
        <v>205</v>
      </c>
      <c r="D74" s="61">
        <v>50</v>
      </c>
      <c r="E74" s="59">
        <v>4167</v>
      </c>
      <c r="F74" s="276">
        <f t="shared" si="0"/>
        <v>208350</v>
      </c>
      <c r="H74" s="277"/>
      <c r="I74" s="277"/>
    </row>
    <row r="75" spans="1:9" ht="20.100000000000001" customHeight="1" x14ac:dyDescent="0.25">
      <c r="A75" s="61" t="s">
        <v>365</v>
      </c>
      <c r="B75" s="275" t="s">
        <v>243</v>
      </c>
      <c r="C75" s="61" t="s">
        <v>205</v>
      </c>
      <c r="D75" s="61">
        <v>20</v>
      </c>
      <c r="E75" s="59">
        <v>4167</v>
      </c>
      <c r="F75" s="276">
        <f t="shared" si="0"/>
        <v>83340</v>
      </c>
      <c r="H75" s="277"/>
      <c r="I75" s="277"/>
    </row>
    <row r="76" spans="1:9" ht="20.100000000000001" customHeight="1" x14ac:dyDescent="0.25">
      <c r="A76" s="61" t="s">
        <v>366</v>
      </c>
      <c r="B76" s="275" t="s">
        <v>244</v>
      </c>
      <c r="C76" s="61" t="s">
        <v>205</v>
      </c>
      <c r="D76" s="61">
        <v>50</v>
      </c>
      <c r="E76" s="59">
        <v>3545</v>
      </c>
      <c r="F76" s="276">
        <f t="shared" si="0"/>
        <v>177250</v>
      </c>
      <c r="H76" s="277"/>
      <c r="I76" s="277"/>
    </row>
    <row r="77" spans="1:9" ht="20.100000000000001" customHeight="1" x14ac:dyDescent="0.25">
      <c r="A77" s="61" t="s">
        <v>367</v>
      </c>
      <c r="B77" s="275" t="s">
        <v>245</v>
      </c>
      <c r="C77" s="61" t="s">
        <v>205</v>
      </c>
      <c r="D77" s="61">
        <v>15</v>
      </c>
      <c r="E77" s="59">
        <v>3375</v>
      </c>
      <c r="F77" s="276">
        <f t="shared" si="0"/>
        <v>50625</v>
      </c>
      <c r="H77" s="277"/>
      <c r="I77" s="277"/>
    </row>
    <row r="78" spans="1:9" ht="20.100000000000001" customHeight="1" x14ac:dyDescent="0.25">
      <c r="A78" s="61" t="s">
        <v>368</v>
      </c>
      <c r="B78" s="275" t="s">
        <v>246</v>
      </c>
      <c r="C78" s="61" t="s">
        <v>205</v>
      </c>
      <c r="D78" s="61">
        <v>15</v>
      </c>
      <c r="E78" s="59">
        <v>531</v>
      </c>
      <c r="F78" s="276">
        <f t="shared" si="0"/>
        <v>7965</v>
      </c>
      <c r="H78" s="277"/>
      <c r="I78" s="277"/>
    </row>
    <row r="79" spans="1:9" ht="20.100000000000001" customHeight="1" x14ac:dyDescent="0.25">
      <c r="A79" s="61" t="s">
        <v>369</v>
      </c>
      <c r="B79" s="275" t="s">
        <v>247</v>
      </c>
      <c r="C79" s="61" t="s">
        <v>205</v>
      </c>
      <c r="D79" s="61">
        <v>10</v>
      </c>
      <c r="E79" s="59">
        <v>531</v>
      </c>
      <c r="F79" s="276">
        <f t="shared" si="0"/>
        <v>5310</v>
      </c>
      <c r="H79" s="277"/>
      <c r="I79" s="277"/>
    </row>
    <row r="80" spans="1:9" ht="20.100000000000001" customHeight="1" x14ac:dyDescent="0.25">
      <c r="A80" s="61" t="s">
        <v>370</v>
      </c>
      <c r="B80" s="275" t="s">
        <v>248</v>
      </c>
      <c r="C80" s="61" t="s">
        <v>205</v>
      </c>
      <c r="D80" s="61">
        <v>1</v>
      </c>
      <c r="E80" s="59">
        <v>1721</v>
      </c>
      <c r="F80" s="276">
        <f t="shared" ref="F80:F145" si="4">+E80*D80</f>
        <v>1721</v>
      </c>
      <c r="H80" s="277"/>
      <c r="I80" s="277"/>
    </row>
    <row r="81" spans="1:9" ht="20.100000000000001" customHeight="1" x14ac:dyDescent="0.25">
      <c r="A81" s="61" t="s">
        <v>371</v>
      </c>
      <c r="B81" s="275" t="s">
        <v>249</v>
      </c>
      <c r="C81" s="61" t="s">
        <v>203</v>
      </c>
      <c r="D81" s="61">
        <v>200</v>
      </c>
      <c r="E81" s="59">
        <v>95</v>
      </c>
      <c r="F81" s="276">
        <f t="shared" si="4"/>
        <v>19000</v>
      </c>
      <c r="H81" s="277"/>
      <c r="I81" s="277"/>
    </row>
    <row r="82" spans="1:9" ht="20.100000000000001" customHeight="1" x14ac:dyDescent="0.25">
      <c r="A82" s="61" t="s">
        <v>372</v>
      </c>
      <c r="B82" s="275" t="s">
        <v>250</v>
      </c>
      <c r="C82" s="61" t="s">
        <v>203</v>
      </c>
      <c r="D82" s="61">
        <v>200</v>
      </c>
      <c r="E82" s="59">
        <v>83</v>
      </c>
      <c r="F82" s="276">
        <f t="shared" si="4"/>
        <v>16600</v>
      </c>
      <c r="H82" s="277"/>
      <c r="I82" s="277"/>
    </row>
    <row r="83" spans="1:9" ht="20.100000000000001" customHeight="1" x14ac:dyDescent="0.25">
      <c r="A83" s="61" t="s">
        <v>373</v>
      </c>
      <c r="B83" s="275" t="s">
        <v>251</v>
      </c>
      <c r="C83" s="61" t="s">
        <v>203</v>
      </c>
      <c r="D83" s="61">
        <v>25</v>
      </c>
      <c r="E83" s="59">
        <v>45</v>
      </c>
      <c r="F83" s="276">
        <f t="shared" si="4"/>
        <v>1125</v>
      </c>
      <c r="H83" s="277"/>
      <c r="I83" s="277"/>
    </row>
    <row r="84" spans="1:9" ht="20.100000000000001" customHeight="1" x14ac:dyDescent="0.25">
      <c r="A84" s="61" t="s">
        <v>374</v>
      </c>
      <c r="B84" s="275" t="s">
        <v>252</v>
      </c>
      <c r="C84" s="61" t="s">
        <v>203</v>
      </c>
      <c r="D84" s="61">
        <v>100</v>
      </c>
      <c r="E84" s="59">
        <v>38</v>
      </c>
      <c r="F84" s="276">
        <f t="shared" si="4"/>
        <v>3800</v>
      </c>
      <c r="H84" s="277"/>
      <c r="I84" s="277"/>
    </row>
    <row r="85" spans="1:9" ht="20.100000000000001" customHeight="1" x14ac:dyDescent="0.25">
      <c r="A85" s="61" t="s">
        <v>375</v>
      </c>
      <c r="B85" s="275" t="s">
        <v>253</v>
      </c>
      <c r="C85" s="61" t="s">
        <v>203</v>
      </c>
      <c r="D85" s="61">
        <v>10</v>
      </c>
      <c r="E85" s="59">
        <v>11314</v>
      </c>
      <c r="F85" s="276">
        <f t="shared" si="4"/>
        <v>113140</v>
      </c>
      <c r="H85" s="277"/>
      <c r="I85" s="277"/>
    </row>
    <row r="86" spans="1:9" ht="20.100000000000001" customHeight="1" x14ac:dyDescent="0.25">
      <c r="A86" s="61" t="s">
        <v>376</v>
      </c>
      <c r="B86" s="275" t="s">
        <v>254</v>
      </c>
      <c r="C86" s="61" t="s">
        <v>203</v>
      </c>
      <c r="D86" s="61">
        <v>35</v>
      </c>
      <c r="E86" s="59">
        <v>2475</v>
      </c>
      <c r="F86" s="276">
        <f t="shared" si="4"/>
        <v>86625</v>
      </c>
      <c r="H86" s="277"/>
      <c r="I86" s="277"/>
    </row>
    <row r="87" spans="1:9" ht="20.100000000000001" customHeight="1" x14ac:dyDescent="0.25">
      <c r="A87" s="61" t="s">
        <v>377</v>
      </c>
      <c r="B87" s="275" t="s">
        <v>255</v>
      </c>
      <c r="C87" s="61" t="s">
        <v>203</v>
      </c>
      <c r="D87" s="61">
        <v>1</v>
      </c>
      <c r="E87" s="59">
        <v>19500</v>
      </c>
      <c r="F87" s="276">
        <f t="shared" si="4"/>
        <v>19500</v>
      </c>
      <c r="H87" s="277"/>
      <c r="I87" s="277"/>
    </row>
    <row r="88" spans="1:9" ht="20.100000000000001" customHeight="1" x14ac:dyDescent="0.25">
      <c r="A88" s="61" t="s">
        <v>378</v>
      </c>
      <c r="B88" s="275" t="s">
        <v>256</v>
      </c>
      <c r="C88" s="61" t="s">
        <v>257</v>
      </c>
      <c r="D88" s="61">
        <v>2</v>
      </c>
      <c r="E88" s="59">
        <v>6650</v>
      </c>
      <c r="F88" s="276">
        <f t="shared" si="4"/>
        <v>13300</v>
      </c>
      <c r="H88" s="277"/>
      <c r="I88" s="277"/>
    </row>
    <row r="89" spans="1:9" ht="20.100000000000001" customHeight="1" x14ac:dyDescent="0.25">
      <c r="A89" s="61" t="s">
        <v>379</v>
      </c>
      <c r="B89" s="275" t="s">
        <v>258</v>
      </c>
      <c r="C89" s="61" t="s">
        <v>257</v>
      </c>
      <c r="D89" s="61">
        <v>2</v>
      </c>
      <c r="E89" s="59">
        <v>3460</v>
      </c>
      <c r="F89" s="276">
        <f t="shared" si="4"/>
        <v>6920</v>
      </c>
      <c r="H89" s="277"/>
      <c r="I89" s="277"/>
    </row>
    <row r="90" spans="1:9" ht="20.100000000000001" customHeight="1" x14ac:dyDescent="0.25">
      <c r="A90" s="61" t="s">
        <v>380</v>
      </c>
      <c r="B90" s="275" t="s">
        <v>259</v>
      </c>
      <c r="C90" s="61"/>
      <c r="D90" s="61">
        <v>100</v>
      </c>
      <c r="E90" s="59">
        <v>450</v>
      </c>
      <c r="F90" s="276">
        <f t="shared" si="4"/>
        <v>45000</v>
      </c>
      <c r="H90" s="277"/>
      <c r="I90" s="277"/>
    </row>
    <row r="91" spans="1:9" ht="20.100000000000001" customHeight="1" x14ac:dyDescent="0.25">
      <c r="A91" s="61" t="s">
        <v>381</v>
      </c>
      <c r="B91" s="275" t="s">
        <v>260</v>
      </c>
      <c r="C91" s="61" t="s">
        <v>204</v>
      </c>
      <c r="D91" s="61">
        <v>1</v>
      </c>
      <c r="E91" s="59">
        <v>250000</v>
      </c>
      <c r="F91" s="276">
        <f t="shared" si="4"/>
        <v>250000</v>
      </c>
      <c r="H91" s="277"/>
      <c r="I91" s="277"/>
    </row>
    <row r="92" spans="1:9" s="272" customFormat="1" ht="20.100000000000001" customHeight="1" x14ac:dyDescent="0.25">
      <c r="A92" s="267" t="s">
        <v>382</v>
      </c>
      <c r="B92" s="273" t="s">
        <v>261</v>
      </c>
      <c r="C92" s="267"/>
      <c r="D92" s="267"/>
      <c r="E92" s="269"/>
      <c r="F92" s="276">
        <f t="shared" si="4"/>
        <v>0</v>
      </c>
      <c r="G92" s="274"/>
      <c r="H92" s="261"/>
      <c r="I92" s="261"/>
    </row>
    <row r="93" spans="1:9" ht="20.100000000000001" customHeight="1" x14ac:dyDescent="0.25">
      <c r="A93" s="61" t="s">
        <v>383</v>
      </c>
      <c r="B93" s="275" t="s">
        <v>290</v>
      </c>
      <c r="C93" s="61" t="s">
        <v>205</v>
      </c>
      <c r="D93" s="61">
        <f>6500+400</f>
        <v>6900</v>
      </c>
      <c r="E93" s="59">
        <v>4825</v>
      </c>
      <c r="F93" s="276">
        <f t="shared" si="4"/>
        <v>33292500</v>
      </c>
      <c r="H93" s="277"/>
      <c r="I93" s="277"/>
    </row>
    <row r="94" spans="1:9" ht="20.100000000000001" customHeight="1" x14ac:dyDescent="0.25">
      <c r="A94" s="61" t="s">
        <v>384</v>
      </c>
      <c r="B94" s="275" t="s">
        <v>292</v>
      </c>
      <c r="C94" s="61" t="s">
        <v>205</v>
      </c>
      <c r="D94" s="61">
        <v>6900</v>
      </c>
      <c r="E94" s="59">
        <v>2475</v>
      </c>
      <c r="F94" s="276">
        <f t="shared" si="4"/>
        <v>17077500</v>
      </c>
      <c r="H94" s="277"/>
      <c r="I94" s="277"/>
    </row>
    <row r="95" spans="1:9" ht="20.100000000000001" customHeight="1" x14ac:dyDescent="0.25">
      <c r="A95" s="61" t="s">
        <v>385</v>
      </c>
      <c r="B95" s="275" t="s">
        <v>334</v>
      </c>
      <c r="C95" s="61" t="s">
        <v>205</v>
      </c>
      <c r="D95" s="61">
        <v>1000</v>
      </c>
      <c r="E95" s="59">
        <v>965</v>
      </c>
      <c r="F95" s="276">
        <f t="shared" si="4"/>
        <v>965000</v>
      </c>
      <c r="H95" s="277"/>
      <c r="I95" s="277"/>
    </row>
    <row r="96" spans="1:9" ht="20.100000000000001" customHeight="1" x14ac:dyDescent="0.25">
      <c r="A96" s="61" t="s">
        <v>386</v>
      </c>
      <c r="B96" s="275" t="s">
        <v>296</v>
      </c>
      <c r="C96" s="61" t="s">
        <v>203</v>
      </c>
      <c r="D96" s="61">
        <v>650</v>
      </c>
      <c r="E96" s="59">
        <v>2600</v>
      </c>
      <c r="F96" s="276">
        <f t="shared" si="4"/>
        <v>1690000</v>
      </c>
      <c r="H96" s="277"/>
      <c r="I96" s="277"/>
    </row>
    <row r="97" spans="1:9" ht="20.100000000000001" customHeight="1" x14ac:dyDescent="0.25">
      <c r="A97" s="61" t="s">
        <v>387</v>
      </c>
      <c r="B97" s="275" t="s">
        <v>298</v>
      </c>
      <c r="C97" s="61" t="s">
        <v>203</v>
      </c>
      <c r="D97" s="61">
        <v>650</v>
      </c>
      <c r="E97" s="59">
        <v>4065</v>
      </c>
      <c r="F97" s="276">
        <f t="shared" si="4"/>
        <v>2642250</v>
      </c>
      <c r="H97" s="277"/>
      <c r="I97" s="277"/>
    </row>
    <row r="98" spans="1:9" ht="20.100000000000001" customHeight="1" x14ac:dyDescent="0.25">
      <c r="A98" s="61" t="s">
        <v>388</v>
      </c>
      <c r="B98" s="275" t="s">
        <v>218</v>
      </c>
      <c r="C98" s="61" t="s">
        <v>205</v>
      </c>
      <c r="D98" s="61">
        <v>13000</v>
      </c>
      <c r="E98" s="59">
        <v>1500</v>
      </c>
      <c r="F98" s="276">
        <f t="shared" si="4"/>
        <v>19500000</v>
      </c>
      <c r="H98" s="277"/>
      <c r="I98" s="277"/>
    </row>
    <row r="99" spans="1:9" ht="20.100000000000001" customHeight="1" x14ac:dyDescent="0.25">
      <c r="A99" s="61" t="s">
        <v>389</v>
      </c>
      <c r="B99" s="275" t="s">
        <v>202</v>
      </c>
      <c r="C99" s="61" t="s">
        <v>205</v>
      </c>
      <c r="D99" s="61">
        <v>4800</v>
      </c>
      <c r="E99" s="59">
        <v>145</v>
      </c>
      <c r="F99" s="276">
        <f t="shared" si="4"/>
        <v>696000</v>
      </c>
      <c r="H99" s="277"/>
      <c r="I99" s="277"/>
    </row>
    <row r="100" spans="1:9" ht="20.100000000000001" customHeight="1" x14ac:dyDescent="0.25">
      <c r="A100" s="61" t="s">
        <v>390</v>
      </c>
      <c r="B100" s="275" t="s">
        <v>219</v>
      </c>
      <c r="C100" s="61" t="s">
        <v>203</v>
      </c>
      <c r="D100" s="61">
        <v>128</v>
      </c>
      <c r="E100" s="59">
        <v>8500</v>
      </c>
      <c r="F100" s="276">
        <f t="shared" si="4"/>
        <v>1088000</v>
      </c>
      <c r="H100" s="277"/>
      <c r="I100" s="277"/>
    </row>
    <row r="101" spans="1:9" ht="20.100000000000001" customHeight="1" x14ac:dyDescent="0.25">
      <c r="A101" s="61" t="s">
        <v>391</v>
      </c>
      <c r="B101" s="275" t="s">
        <v>220</v>
      </c>
      <c r="C101" s="61" t="s">
        <v>203</v>
      </c>
      <c r="D101" s="61">
        <v>128</v>
      </c>
      <c r="E101" s="59">
        <v>2850</v>
      </c>
      <c r="F101" s="276">
        <f t="shared" si="4"/>
        <v>364800</v>
      </c>
      <c r="H101" s="277"/>
      <c r="I101" s="277"/>
    </row>
    <row r="102" spans="1:9" ht="20.100000000000001" customHeight="1" x14ac:dyDescent="0.25">
      <c r="A102" s="61" t="s">
        <v>392</v>
      </c>
      <c r="B102" s="275" t="s">
        <v>304</v>
      </c>
      <c r="C102" s="61" t="s">
        <v>203</v>
      </c>
      <c r="D102" s="279">
        <v>128</v>
      </c>
      <c r="E102" s="59">
        <v>15000</v>
      </c>
      <c r="F102" s="278">
        <f t="shared" ref="F102:F107" si="5">+D102*E102</f>
        <v>1920000</v>
      </c>
      <c r="H102" s="277"/>
      <c r="I102" s="277"/>
    </row>
    <row r="103" spans="1:9" ht="20.100000000000001" customHeight="1" x14ac:dyDescent="0.25">
      <c r="A103" s="61" t="s">
        <v>393</v>
      </c>
      <c r="B103" s="275" t="s">
        <v>222</v>
      </c>
      <c r="C103" s="61" t="s">
        <v>205</v>
      </c>
      <c r="D103" s="279">
        <v>1200</v>
      </c>
      <c r="E103" s="59">
        <v>12500</v>
      </c>
      <c r="F103" s="278">
        <f t="shared" si="5"/>
        <v>15000000</v>
      </c>
      <c r="H103" s="277"/>
      <c r="I103" s="277"/>
    </row>
    <row r="104" spans="1:9" ht="20.100000000000001" customHeight="1" x14ac:dyDescent="0.25">
      <c r="A104" s="61" t="s">
        <v>394</v>
      </c>
      <c r="B104" s="275" t="s">
        <v>223</v>
      </c>
      <c r="C104" s="61" t="s">
        <v>205</v>
      </c>
      <c r="D104" s="279">
        <v>4800</v>
      </c>
      <c r="E104" s="59">
        <v>1500</v>
      </c>
      <c r="F104" s="278">
        <f t="shared" si="5"/>
        <v>7200000</v>
      </c>
      <c r="H104" s="277"/>
      <c r="I104" s="277"/>
    </row>
    <row r="105" spans="1:9" ht="20.100000000000001" customHeight="1" x14ac:dyDescent="0.25">
      <c r="A105" s="61" t="s">
        <v>395</v>
      </c>
      <c r="B105" s="275" t="s">
        <v>275</v>
      </c>
      <c r="C105" s="61" t="s">
        <v>205</v>
      </c>
      <c r="D105" s="279">
        <v>60</v>
      </c>
      <c r="E105" s="59">
        <v>4500</v>
      </c>
      <c r="F105" s="278">
        <f t="shared" si="5"/>
        <v>270000</v>
      </c>
      <c r="H105" s="277"/>
      <c r="I105" s="277"/>
    </row>
    <row r="106" spans="1:9" ht="20.100000000000001" customHeight="1" x14ac:dyDescent="0.25">
      <c r="A106" s="61" t="s">
        <v>396</v>
      </c>
      <c r="B106" s="275" t="s">
        <v>276</v>
      </c>
      <c r="C106" s="61" t="s">
        <v>205</v>
      </c>
      <c r="D106" s="279">
        <v>150</v>
      </c>
      <c r="E106" s="59">
        <v>4500</v>
      </c>
      <c r="F106" s="278">
        <f t="shared" si="5"/>
        <v>675000</v>
      </c>
      <c r="H106" s="277"/>
      <c r="I106" s="277"/>
    </row>
    <row r="107" spans="1:9" ht="20.100000000000001" customHeight="1" x14ac:dyDescent="0.25">
      <c r="A107" s="61" t="s">
        <v>397</v>
      </c>
      <c r="B107" s="275" t="s">
        <v>311</v>
      </c>
      <c r="C107" s="61" t="s">
        <v>203</v>
      </c>
      <c r="D107" s="279">
        <v>128</v>
      </c>
      <c r="E107" s="59">
        <v>25000</v>
      </c>
      <c r="F107" s="278">
        <f t="shared" si="5"/>
        <v>3200000</v>
      </c>
      <c r="H107" s="277"/>
      <c r="I107" s="277"/>
    </row>
    <row r="108" spans="1:9" s="272" customFormat="1" ht="20.100000000000001" customHeight="1" x14ac:dyDescent="0.25">
      <c r="A108" s="267" t="s">
        <v>398</v>
      </c>
      <c r="B108" s="273" t="s">
        <v>263</v>
      </c>
      <c r="C108" s="267"/>
      <c r="D108" s="267"/>
      <c r="E108" s="269"/>
      <c r="F108" s="276">
        <f t="shared" si="4"/>
        <v>0</v>
      </c>
      <c r="G108" s="274"/>
      <c r="H108" s="261"/>
      <c r="I108" s="261"/>
    </row>
    <row r="109" spans="1:9" ht="20.100000000000001" customHeight="1" x14ac:dyDescent="0.25">
      <c r="A109" s="61" t="s">
        <v>399</v>
      </c>
      <c r="B109" s="275" t="s">
        <v>290</v>
      </c>
      <c r="C109" s="61" t="s">
        <v>205</v>
      </c>
      <c r="D109" s="61">
        <f>8000+500</f>
        <v>8500</v>
      </c>
      <c r="E109" s="59">
        <v>4825</v>
      </c>
      <c r="F109" s="276">
        <f t="shared" si="4"/>
        <v>41012500</v>
      </c>
      <c r="H109" s="277"/>
      <c r="I109" s="277"/>
    </row>
    <row r="110" spans="1:9" ht="20.100000000000001" customHeight="1" x14ac:dyDescent="0.25">
      <c r="A110" s="61" t="s">
        <v>400</v>
      </c>
      <c r="B110" s="275" t="s">
        <v>292</v>
      </c>
      <c r="C110" s="61" t="s">
        <v>205</v>
      </c>
      <c r="D110" s="61">
        <v>8500</v>
      </c>
      <c r="E110" s="59">
        <v>2475</v>
      </c>
      <c r="F110" s="276">
        <f t="shared" si="4"/>
        <v>21037500</v>
      </c>
      <c r="H110" s="277"/>
      <c r="I110" s="277"/>
    </row>
    <row r="111" spans="1:9" ht="20.100000000000001" customHeight="1" x14ac:dyDescent="0.25">
      <c r="A111" s="61" t="s">
        <v>401</v>
      </c>
      <c r="B111" s="275" t="s">
        <v>294</v>
      </c>
      <c r="C111" s="61" t="s">
        <v>205</v>
      </c>
      <c r="D111" s="61">
        <v>300</v>
      </c>
      <c r="E111" s="59">
        <v>965</v>
      </c>
      <c r="F111" s="276">
        <f t="shared" si="4"/>
        <v>289500</v>
      </c>
      <c r="H111" s="277"/>
      <c r="I111" s="277"/>
    </row>
    <row r="112" spans="1:9" ht="20.100000000000001" customHeight="1" x14ac:dyDescent="0.25">
      <c r="A112" s="61" t="s">
        <v>402</v>
      </c>
      <c r="B112" s="275" t="s">
        <v>216</v>
      </c>
      <c r="C112" s="61" t="s">
        <v>203</v>
      </c>
      <c r="D112" s="61">
        <v>600</v>
      </c>
      <c r="E112" s="59">
        <v>2600</v>
      </c>
      <c r="F112" s="276">
        <f t="shared" si="4"/>
        <v>1560000</v>
      </c>
      <c r="H112" s="277"/>
      <c r="I112" s="277"/>
    </row>
    <row r="113" spans="1:9" ht="20.100000000000001" customHeight="1" x14ac:dyDescent="0.25">
      <c r="A113" s="61" t="s">
        <v>403</v>
      </c>
      <c r="B113" s="275" t="s">
        <v>298</v>
      </c>
      <c r="C113" s="61" t="s">
        <v>203</v>
      </c>
      <c r="D113" s="61">
        <v>600</v>
      </c>
      <c r="E113" s="59">
        <v>4065</v>
      </c>
      <c r="F113" s="276">
        <f t="shared" si="4"/>
        <v>2439000</v>
      </c>
      <c r="H113" s="277"/>
      <c r="I113" s="277"/>
    </row>
    <row r="114" spans="1:9" ht="20.100000000000001" customHeight="1" x14ac:dyDescent="0.25">
      <c r="A114" s="61" t="s">
        <v>404</v>
      </c>
      <c r="B114" s="275" t="s">
        <v>218</v>
      </c>
      <c r="C114" s="61" t="s">
        <v>205</v>
      </c>
      <c r="D114" s="61">
        <v>13000</v>
      </c>
      <c r="E114" s="59">
        <v>1500</v>
      </c>
      <c r="F114" s="276">
        <f t="shared" si="4"/>
        <v>19500000</v>
      </c>
      <c r="H114" s="277"/>
      <c r="I114" s="277"/>
    </row>
    <row r="115" spans="1:9" ht="20.100000000000001" customHeight="1" x14ac:dyDescent="0.25">
      <c r="A115" s="61" t="s">
        <v>405</v>
      </c>
      <c r="B115" s="275" t="s">
        <v>202</v>
      </c>
      <c r="C115" s="61" t="s">
        <v>205</v>
      </c>
      <c r="D115" s="61">
        <v>6450</v>
      </c>
      <c r="E115" s="59">
        <v>145</v>
      </c>
      <c r="F115" s="276">
        <f t="shared" si="4"/>
        <v>935250</v>
      </c>
      <c r="H115" s="277"/>
      <c r="I115" s="277"/>
    </row>
    <row r="116" spans="1:9" ht="20.100000000000001" customHeight="1" x14ac:dyDescent="0.25">
      <c r="A116" s="61" t="s">
        <v>406</v>
      </c>
      <c r="B116" s="275" t="s">
        <v>219</v>
      </c>
      <c r="C116" s="61" t="s">
        <v>203</v>
      </c>
      <c r="D116" s="61">
        <v>117</v>
      </c>
      <c r="E116" s="59">
        <v>8500</v>
      </c>
      <c r="F116" s="276">
        <f t="shared" si="4"/>
        <v>994500</v>
      </c>
      <c r="H116" s="277"/>
      <c r="I116" s="277"/>
    </row>
    <row r="117" spans="1:9" ht="20.100000000000001" customHeight="1" x14ac:dyDescent="0.25">
      <c r="A117" s="61" t="s">
        <v>407</v>
      </c>
      <c r="B117" s="275" t="s">
        <v>220</v>
      </c>
      <c r="C117" s="61" t="s">
        <v>203</v>
      </c>
      <c r="D117" s="61">
        <v>117</v>
      </c>
      <c r="E117" s="59">
        <v>2850</v>
      </c>
      <c r="F117" s="276">
        <f t="shared" si="4"/>
        <v>333450</v>
      </c>
      <c r="H117" s="277"/>
      <c r="I117" s="277"/>
    </row>
    <row r="118" spans="1:9" ht="20.100000000000001" customHeight="1" x14ac:dyDescent="0.25">
      <c r="A118" s="61" t="s">
        <v>408</v>
      </c>
      <c r="B118" s="275" t="s">
        <v>304</v>
      </c>
      <c r="C118" s="61" t="s">
        <v>203</v>
      </c>
      <c r="D118" s="61">
        <v>117</v>
      </c>
      <c r="E118" s="59">
        <v>15000</v>
      </c>
      <c r="F118" s="278">
        <f t="shared" ref="F118:F129" si="6">+D118*E118</f>
        <v>1755000</v>
      </c>
      <c r="H118" s="277"/>
      <c r="I118" s="277"/>
    </row>
    <row r="119" spans="1:9" ht="20.100000000000001" customHeight="1" x14ac:dyDescent="0.25">
      <c r="A119" s="61" t="s">
        <v>409</v>
      </c>
      <c r="B119" s="275" t="s">
        <v>222</v>
      </c>
      <c r="C119" s="61" t="s">
        <v>205</v>
      </c>
      <c r="D119" s="61">
        <v>1200</v>
      </c>
      <c r="E119" s="59">
        <v>12500</v>
      </c>
      <c r="F119" s="278">
        <f t="shared" si="6"/>
        <v>15000000</v>
      </c>
      <c r="H119" s="277"/>
      <c r="I119" s="277"/>
    </row>
    <row r="120" spans="1:9" ht="20.100000000000001" customHeight="1" x14ac:dyDescent="0.25">
      <c r="A120" s="61" t="s">
        <v>410</v>
      </c>
      <c r="B120" s="275" t="s">
        <v>223</v>
      </c>
      <c r="C120" s="61" t="s">
        <v>205</v>
      </c>
      <c r="D120" s="61">
        <v>5250</v>
      </c>
      <c r="E120" s="59">
        <v>1500</v>
      </c>
      <c r="F120" s="278">
        <f t="shared" si="6"/>
        <v>7875000</v>
      </c>
      <c r="H120" s="277"/>
      <c r="I120" s="277"/>
    </row>
    <row r="121" spans="1:9" ht="20.100000000000001" customHeight="1" x14ac:dyDescent="0.25">
      <c r="A121" s="61" t="s">
        <v>411</v>
      </c>
      <c r="B121" s="275" t="s">
        <v>311</v>
      </c>
      <c r="C121" s="61" t="s">
        <v>203</v>
      </c>
      <c r="D121" s="61">
        <v>117</v>
      </c>
      <c r="E121" s="59">
        <v>25000</v>
      </c>
      <c r="F121" s="278">
        <f t="shared" si="6"/>
        <v>2925000</v>
      </c>
      <c r="H121" s="277"/>
      <c r="I121" s="277"/>
    </row>
    <row r="122" spans="1:9" ht="20.100000000000001" customHeight="1" x14ac:dyDescent="0.25">
      <c r="A122" s="61" t="s">
        <v>412</v>
      </c>
      <c r="B122" s="275" t="s">
        <v>269</v>
      </c>
      <c r="C122" s="61" t="s">
        <v>204</v>
      </c>
      <c r="D122" s="61">
        <v>4</v>
      </c>
      <c r="E122" s="59">
        <v>350000</v>
      </c>
      <c r="F122" s="278">
        <f t="shared" si="6"/>
        <v>1400000</v>
      </c>
      <c r="H122" s="277"/>
      <c r="I122" s="277"/>
    </row>
    <row r="123" spans="1:9" ht="20.100000000000001" customHeight="1" x14ac:dyDescent="0.25">
      <c r="A123" s="61" t="s">
        <v>413</v>
      </c>
      <c r="B123" s="275" t="s">
        <v>276</v>
      </c>
      <c r="C123" s="61" t="s">
        <v>205</v>
      </c>
      <c r="D123" s="61">
        <v>110</v>
      </c>
      <c r="E123" s="59">
        <v>4500</v>
      </c>
      <c r="F123" s="278">
        <f t="shared" si="6"/>
        <v>495000</v>
      </c>
      <c r="H123" s="277"/>
      <c r="I123" s="277"/>
    </row>
    <row r="124" spans="1:9" ht="20.100000000000001" customHeight="1" x14ac:dyDescent="0.25">
      <c r="A124" s="61" t="s">
        <v>414</v>
      </c>
      <c r="B124" s="275" t="s">
        <v>275</v>
      </c>
      <c r="C124" s="61" t="s">
        <v>205</v>
      </c>
      <c r="D124" s="61">
        <v>60</v>
      </c>
      <c r="E124" s="59">
        <v>4500</v>
      </c>
      <c r="F124" s="278">
        <f t="shared" si="6"/>
        <v>270000</v>
      </c>
      <c r="H124" s="277"/>
      <c r="I124" s="277"/>
    </row>
    <row r="125" spans="1:9" ht="20.100000000000001" customHeight="1" x14ac:dyDescent="0.25">
      <c r="A125" s="61" t="s">
        <v>415</v>
      </c>
      <c r="B125" s="275" t="s">
        <v>270</v>
      </c>
      <c r="C125" s="61" t="s">
        <v>204</v>
      </c>
      <c r="D125" s="61">
        <v>1</v>
      </c>
      <c r="E125" s="59">
        <v>1300000</v>
      </c>
      <c r="F125" s="278">
        <f t="shared" si="6"/>
        <v>1300000</v>
      </c>
      <c r="H125" s="277"/>
      <c r="I125" s="277"/>
    </row>
    <row r="126" spans="1:9" ht="20.100000000000001" customHeight="1" x14ac:dyDescent="0.25">
      <c r="A126" s="61" t="s">
        <v>416</v>
      </c>
      <c r="B126" s="275" t="s">
        <v>271</v>
      </c>
      <c r="C126" s="61" t="s">
        <v>205</v>
      </c>
      <c r="D126" s="61">
        <v>6</v>
      </c>
      <c r="E126" s="59">
        <v>4500</v>
      </c>
      <c r="F126" s="278">
        <f t="shared" si="6"/>
        <v>27000</v>
      </c>
      <c r="H126" s="277"/>
      <c r="I126" s="277"/>
    </row>
    <row r="127" spans="1:9" ht="20.100000000000001" customHeight="1" x14ac:dyDescent="0.25">
      <c r="A127" s="61" t="s">
        <v>417</v>
      </c>
      <c r="B127" s="275" t="s">
        <v>277</v>
      </c>
      <c r="C127" s="61" t="s">
        <v>418</v>
      </c>
      <c r="D127" s="61">
        <v>20</v>
      </c>
      <c r="E127" s="59">
        <v>150000</v>
      </c>
      <c r="F127" s="278">
        <f t="shared" si="6"/>
        <v>3000000</v>
      </c>
      <c r="H127" s="277"/>
      <c r="I127" s="277"/>
    </row>
    <row r="128" spans="1:9" ht="20.100000000000001" customHeight="1" x14ac:dyDescent="0.25">
      <c r="A128" s="61" t="s">
        <v>419</v>
      </c>
      <c r="B128" s="275" t="s">
        <v>420</v>
      </c>
      <c r="C128" s="61" t="s">
        <v>418</v>
      </c>
      <c r="D128" s="61">
        <v>60</v>
      </c>
      <c r="E128" s="59">
        <v>600000</v>
      </c>
      <c r="F128" s="278">
        <f t="shared" si="6"/>
        <v>36000000</v>
      </c>
      <c r="H128" s="277"/>
      <c r="I128" s="277"/>
    </row>
    <row r="129" spans="1:9" ht="20.100000000000001" customHeight="1" x14ac:dyDescent="0.25">
      <c r="A129" s="61" t="s">
        <v>421</v>
      </c>
      <c r="B129" s="275" t="s">
        <v>422</v>
      </c>
      <c r="C129" s="61" t="s">
        <v>418</v>
      </c>
      <c r="D129" s="61">
        <v>75</v>
      </c>
      <c r="E129" s="59">
        <v>130000</v>
      </c>
      <c r="F129" s="278">
        <f t="shared" si="6"/>
        <v>9750000</v>
      </c>
      <c r="H129" s="277"/>
      <c r="I129" s="277"/>
    </row>
    <row r="130" spans="1:9" s="272" customFormat="1" ht="20.100000000000001" customHeight="1" x14ac:dyDescent="0.25">
      <c r="A130" s="267" t="s">
        <v>423</v>
      </c>
      <c r="B130" s="273" t="s">
        <v>264</v>
      </c>
      <c r="C130" s="267"/>
      <c r="D130" s="267"/>
      <c r="E130" s="269"/>
      <c r="F130" s="276">
        <f t="shared" si="4"/>
        <v>0</v>
      </c>
      <c r="G130" s="274"/>
      <c r="H130" s="261"/>
      <c r="I130" s="261"/>
    </row>
    <row r="131" spans="1:9" ht="20.100000000000001" customHeight="1" x14ac:dyDescent="0.25">
      <c r="A131" s="61" t="s">
        <v>424</v>
      </c>
      <c r="B131" s="275" t="s">
        <v>292</v>
      </c>
      <c r="C131" s="61" t="s">
        <v>205</v>
      </c>
      <c r="D131" s="61">
        <v>600</v>
      </c>
      <c r="E131" s="59">
        <v>2475</v>
      </c>
      <c r="F131" s="276">
        <f t="shared" si="4"/>
        <v>1485000</v>
      </c>
      <c r="H131" s="277"/>
      <c r="I131" s="277"/>
    </row>
    <row r="132" spans="1:9" ht="20.100000000000001" customHeight="1" x14ac:dyDescent="0.25">
      <c r="A132" s="61" t="s">
        <v>425</v>
      </c>
      <c r="B132" s="275" t="s">
        <v>230</v>
      </c>
      <c r="C132" s="61" t="s">
        <v>205</v>
      </c>
      <c r="D132" s="61">
        <v>27</v>
      </c>
      <c r="E132" s="59">
        <v>4920</v>
      </c>
      <c r="F132" s="276">
        <f t="shared" si="4"/>
        <v>132840</v>
      </c>
      <c r="H132" s="277"/>
      <c r="I132" s="277"/>
    </row>
    <row r="133" spans="1:9" ht="20.100000000000001" customHeight="1" x14ac:dyDescent="0.25">
      <c r="A133" s="61" t="s">
        <v>426</v>
      </c>
      <c r="B133" s="275" t="s">
        <v>231</v>
      </c>
      <c r="C133" s="61" t="s">
        <v>205</v>
      </c>
      <c r="D133" s="61">
        <v>6</v>
      </c>
      <c r="E133" s="59">
        <v>3500</v>
      </c>
      <c r="F133" s="276">
        <f t="shared" si="4"/>
        <v>21000</v>
      </c>
      <c r="H133" s="277"/>
      <c r="I133" s="277"/>
    </row>
    <row r="134" spans="1:9" ht="20.100000000000001" customHeight="1" x14ac:dyDescent="0.25">
      <c r="A134" s="61" t="s">
        <v>427</v>
      </c>
      <c r="B134" s="275" t="s">
        <v>232</v>
      </c>
      <c r="C134" s="61" t="s">
        <v>203</v>
      </c>
      <c r="D134" s="61">
        <v>3</v>
      </c>
      <c r="E134" s="59">
        <v>6953</v>
      </c>
      <c r="F134" s="276">
        <f t="shared" si="4"/>
        <v>20859</v>
      </c>
      <c r="H134" s="277"/>
      <c r="I134" s="277"/>
    </row>
    <row r="135" spans="1:9" ht="20.100000000000001" customHeight="1" x14ac:dyDescent="0.25">
      <c r="A135" s="61" t="s">
        <v>428</v>
      </c>
      <c r="B135" s="275" t="s">
        <v>233</v>
      </c>
      <c r="C135" s="61" t="s">
        <v>203</v>
      </c>
      <c r="D135" s="61">
        <v>3</v>
      </c>
      <c r="E135" s="59">
        <v>6953</v>
      </c>
      <c r="F135" s="276">
        <f t="shared" si="4"/>
        <v>20859</v>
      </c>
      <c r="H135" s="277"/>
      <c r="I135" s="277"/>
    </row>
    <row r="136" spans="1:9" ht="20.100000000000001" customHeight="1" x14ac:dyDescent="0.25">
      <c r="A136" s="61" t="s">
        <v>429</v>
      </c>
      <c r="B136" s="275" t="s">
        <v>234</v>
      </c>
      <c r="C136" s="61" t="s">
        <v>203</v>
      </c>
      <c r="D136" s="61">
        <v>18</v>
      </c>
      <c r="E136" s="59">
        <v>2500</v>
      </c>
      <c r="F136" s="276">
        <f t="shared" si="4"/>
        <v>45000</v>
      </c>
      <c r="H136" s="277"/>
      <c r="I136" s="277"/>
    </row>
    <row r="137" spans="1:9" ht="20.100000000000001" customHeight="1" x14ac:dyDescent="0.25">
      <c r="A137" s="61" t="s">
        <v>430</v>
      </c>
      <c r="B137" s="275" t="s">
        <v>235</v>
      </c>
      <c r="C137" s="61" t="s">
        <v>203</v>
      </c>
      <c r="D137" s="61">
        <v>6</v>
      </c>
      <c r="E137" s="59">
        <v>123750</v>
      </c>
      <c r="F137" s="276">
        <f t="shared" si="4"/>
        <v>742500</v>
      </c>
      <c r="H137" s="277"/>
      <c r="I137" s="277"/>
    </row>
    <row r="138" spans="1:9" ht="20.100000000000001" customHeight="1" x14ac:dyDescent="0.25">
      <c r="A138" s="61" t="s">
        <v>431</v>
      </c>
      <c r="B138" s="275" t="s">
        <v>236</v>
      </c>
      <c r="C138" s="61" t="s">
        <v>203</v>
      </c>
      <c r="D138" s="61">
        <v>6</v>
      </c>
      <c r="E138" s="59">
        <v>93164</v>
      </c>
      <c r="F138" s="276">
        <f t="shared" si="4"/>
        <v>558984</v>
      </c>
      <c r="H138" s="277"/>
      <c r="I138" s="277"/>
    </row>
    <row r="139" spans="1:9" ht="20.100000000000001" customHeight="1" x14ac:dyDescent="0.25">
      <c r="A139" s="61" t="s">
        <v>432</v>
      </c>
      <c r="B139" s="275" t="s">
        <v>237</v>
      </c>
      <c r="C139" s="61" t="s">
        <v>203</v>
      </c>
      <c r="D139" s="61">
        <v>18</v>
      </c>
      <c r="E139" s="59">
        <v>21142</v>
      </c>
      <c r="F139" s="276">
        <f t="shared" si="4"/>
        <v>380556</v>
      </c>
      <c r="H139" s="277"/>
      <c r="I139" s="277"/>
    </row>
    <row r="140" spans="1:9" ht="20.100000000000001" customHeight="1" x14ac:dyDescent="0.25">
      <c r="A140" s="61" t="s">
        <v>433</v>
      </c>
      <c r="B140" s="275" t="s">
        <v>238</v>
      </c>
      <c r="C140" s="61" t="s">
        <v>203</v>
      </c>
      <c r="D140" s="61">
        <v>6</v>
      </c>
      <c r="E140" s="59">
        <v>38271</v>
      </c>
      <c r="F140" s="276">
        <f t="shared" si="4"/>
        <v>229626</v>
      </c>
      <c r="H140" s="277"/>
      <c r="I140" s="277"/>
    </row>
    <row r="141" spans="1:9" ht="20.100000000000001" customHeight="1" x14ac:dyDescent="0.25">
      <c r="A141" s="61" t="s">
        <v>434</v>
      </c>
      <c r="B141" s="275" t="s">
        <v>239</v>
      </c>
      <c r="C141" s="61" t="s">
        <v>203</v>
      </c>
      <c r="D141" s="61">
        <v>6</v>
      </c>
      <c r="E141" s="59">
        <v>31376</v>
      </c>
      <c r="F141" s="276">
        <f t="shared" si="4"/>
        <v>188256</v>
      </c>
      <c r="H141" s="277"/>
      <c r="I141" s="277"/>
    </row>
    <row r="142" spans="1:9" ht="20.100000000000001" customHeight="1" x14ac:dyDescent="0.25">
      <c r="A142" s="61" t="s">
        <v>435</v>
      </c>
      <c r="B142" s="275" t="s">
        <v>240</v>
      </c>
      <c r="C142" s="61" t="s">
        <v>203</v>
      </c>
      <c r="D142" s="61">
        <v>6</v>
      </c>
      <c r="E142" s="59">
        <v>17550</v>
      </c>
      <c r="F142" s="276">
        <f t="shared" si="4"/>
        <v>105300</v>
      </c>
      <c r="H142" s="277"/>
      <c r="I142" s="277"/>
    </row>
    <row r="143" spans="1:9" ht="20.100000000000001" customHeight="1" x14ac:dyDescent="0.25">
      <c r="A143" s="61" t="s">
        <v>436</v>
      </c>
      <c r="B143" s="275" t="s">
        <v>363</v>
      </c>
      <c r="C143" s="61" t="s">
        <v>203</v>
      </c>
      <c r="D143" s="61">
        <v>6</v>
      </c>
      <c r="E143" s="59">
        <v>114726</v>
      </c>
      <c r="F143" s="276">
        <f t="shared" si="4"/>
        <v>688356</v>
      </c>
      <c r="H143" s="277"/>
      <c r="I143" s="277"/>
    </row>
    <row r="144" spans="1:9" ht="20.100000000000001" customHeight="1" x14ac:dyDescent="0.25">
      <c r="A144" s="61" t="s">
        <v>437</v>
      </c>
      <c r="B144" s="275" t="s">
        <v>242</v>
      </c>
      <c r="C144" s="61" t="s">
        <v>205</v>
      </c>
      <c r="D144" s="61">
        <v>200</v>
      </c>
      <c r="E144" s="59">
        <v>4167</v>
      </c>
      <c r="F144" s="276">
        <f t="shared" si="4"/>
        <v>833400</v>
      </c>
      <c r="H144" s="277"/>
      <c r="I144" s="277"/>
    </row>
    <row r="145" spans="1:9" ht="20.100000000000001" customHeight="1" x14ac:dyDescent="0.25">
      <c r="A145" s="61" t="s">
        <v>438</v>
      </c>
      <c r="B145" s="275" t="s">
        <v>243</v>
      </c>
      <c r="C145" s="61" t="s">
        <v>205</v>
      </c>
      <c r="D145" s="61">
        <v>80</v>
      </c>
      <c r="E145" s="59">
        <v>4167</v>
      </c>
      <c r="F145" s="276">
        <f t="shared" si="4"/>
        <v>333360</v>
      </c>
      <c r="H145" s="277"/>
      <c r="I145" s="277"/>
    </row>
    <row r="146" spans="1:9" ht="20.100000000000001" customHeight="1" x14ac:dyDescent="0.25">
      <c r="A146" s="61" t="s">
        <v>439</v>
      </c>
      <c r="B146" s="275" t="s">
        <v>244</v>
      </c>
      <c r="C146" s="61" t="s">
        <v>205</v>
      </c>
      <c r="D146" s="61">
        <v>150</v>
      </c>
      <c r="E146" s="59">
        <v>3545</v>
      </c>
      <c r="F146" s="276">
        <f t="shared" ref="F146:F163" si="7">+E146*D146</f>
        <v>531750</v>
      </c>
      <c r="H146" s="277"/>
      <c r="I146" s="277"/>
    </row>
    <row r="147" spans="1:9" ht="20.100000000000001" customHeight="1" x14ac:dyDescent="0.25">
      <c r="A147" s="61" t="s">
        <v>440</v>
      </c>
      <c r="B147" s="275" t="s">
        <v>245</v>
      </c>
      <c r="C147" s="61" t="s">
        <v>205</v>
      </c>
      <c r="D147" s="61">
        <v>100</v>
      </c>
      <c r="E147" s="59">
        <v>3545</v>
      </c>
      <c r="F147" s="276">
        <f t="shared" si="7"/>
        <v>354500</v>
      </c>
      <c r="H147" s="277"/>
      <c r="I147" s="277"/>
    </row>
    <row r="148" spans="1:9" ht="20.100000000000001" customHeight="1" x14ac:dyDescent="0.25">
      <c r="A148" s="61" t="s">
        <v>441</v>
      </c>
      <c r="B148" s="275" t="s">
        <v>246</v>
      </c>
      <c r="C148" s="61" t="s">
        <v>205</v>
      </c>
      <c r="D148" s="61">
        <v>100</v>
      </c>
      <c r="E148" s="59">
        <v>531</v>
      </c>
      <c r="F148" s="276">
        <f t="shared" si="7"/>
        <v>53100</v>
      </c>
      <c r="H148" s="277"/>
      <c r="I148" s="277"/>
    </row>
    <row r="149" spans="1:9" ht="20.100000000000001" customHeight="1" x14ac:dyDescent="0.25">
      <c r="A149" s="61" t="s">
        <v>442</v>
      </c>
      <c r="B149" s="275" t="s">
        <v>247</v>
      </c>
      <c r="C149" s="61" t="s">
        <v>205</v>
      </c>
      <c r="D149" s="61">
        <v>100</v>
      </c>
      <c r="E149" s="59">
        <v>531</v>
      </c>
      <c r="F149" s="276">
        <f t="shared" si="7"/>
        <v>53100</v>
      </c>
      <c r="H149" s="277"/>
      <c r="I149" s="277"/>
    </row>
    <row r="150" spans="1:9" ht="20.100000000000001" customHeight="1" x14ac:dyDescent="0.25">
      <c r="A150" s="61" t="s">
        <v>443</v>
      </c>
      <c r="B150" s="275" t="s">
        <v>248</v>
      </c>
      <c r="C150" s="61" t="s">
        <v>205</v>
      </c>
      <c r="D150" s="61">
        <v>100</v>
      </c>
      <c r="E150" s="59">
        <v>1721</v>
      </c>
      <c r="F150" s="276">
        <f t="shared" si="7"/>
        <v>172100</v>
      </c>
      <c r="H150" s="277"/>
      <c r="I150" s="277"/>
    </row>
    <row r="151" spans="1:9" ht="20.100000000000001" customHeight="1" x14ac:dyDescent="0.25">
      <c r="A151" s="61" t="s">
        <v>444</v>
      </c>
      <c r="B151" s="275" t="s">
        <v>249</v>
      </c>
      <c r="C151" s="61" t="s">
        <v>203</v>
      </c>
      <c r="D151" s="61">
        <v>200</v>
      </c>
      <c r="E151" s="59">
        <v>95</v>
      </c>
      <c r="F151" s="276">
        <f t="shared" si="7"/>
        <v>19000</v>
      </c>
      <c r="H151" s="277"/>
      <c r="I151" s="277"/>
    </row>
    <row r="152" spans="1:9" ht="20.100000000000001" customHeight="1" x14ac:dyDescent="0.25">
      <c r="A152" s="61" t="s">
        <v>445</v>
      </c>
      <c r="B152" s="275" t="s">
        <v>250</v>
      </c>
      <c r="C152" s="61" t="s">
        <v>203</v>
      </c>
      <c r="D152" s="61">
        <v>200</v>
      </c>
      <c r="E152" s="59">
        <v>83</v>
      </c>
      <c r="F152" s="276">
        <f t="shared" si="7"/>
        <v>16600</v>
      </c>
      <c r="H152" s="277"/>
      <c r="I152" s="277"/>
    </row>
    <row r="153" spans="1:9" ht="20.100000000000001" customHeight="1" x14ac:dyDescent="0.25">
      <c r="A153" s="61" t="s">
        <v>446</v>
      </c>
      <c r="B153" s="275" t="s">
        <v>251</v>
      </c>
      <c r="C153" s="61" t="s">
        <v>203</v>
      </c>
      <c r="D153" s="61">
        <v>100</v>
      </c>
      <c r="E153" s="59">
        <v>45</v>
      </c>
      <c r="F153" s="276">
        <f t="shared" si="7"/>
        <v>4500</v>
      </c>
      <c r="H153" s="277"/>
      <c r="I153" s="277"/>
    </row>
    <row r="154" spans="1:9" ht="20.100000000000001" customHeight="1" x14ac:dyDescent="0.25">
      <c r="A154" s="61" t="s">
        <v>447</v>
      </c>
      <c r="B154" s="275" t="s">
        <v>252</v>
      </c>
      <c r="C154" s="61" t="s">
        <v>203</v>
      </c>
      <c r="D154" s="61">
        <v>100</v>
      </c>
      <c r="E154" s="59">
        <v>38</v>
      </c>
      <c r="F154" s="276">
        <f t="shared" si="7"/>
        <v>3800</v>
      </c>
      <c r="H154" s="277"/>
      <c r="I154" s="277"/>
    </row>
    <row r="155" spans="1:9" ht="20.100000000000001" customHeight="1" x14ac:dyDescent="0.25">
      <c r="A155" s="61" t="s">
        <v>448</v>
      </c>
      <c r="B155" s="275" t="s">
        <v>253</v>
      </c>
      <c r="C155" s="61" t="s">
        <v>203</v>
      </c>
      <c r="D155" s="61">
        <v>10</v>
      </c>
      <c r="E155" s="59">
        <v>11314</v>
      </c>
      <c r="F155" s="276">
        <f t="shared" si="7"/>
        <v>113140</v>
      </c>
      <c r="H155" s="277"/>
      <c r="I155" s="277"/>
    </row>
    <row r="156" spans="1:9" ht="20.100000000000001" customHeight="1" x14ac:dyDescent="0.25">
      <c r="A156" s="61" t="s">
        <v>449</v>
      </c>
      <c r="B156" s="275" t="s">
        <v>254</v>
      </c>
      <c r="C156" s="61" t="s">
        <v>203</v>
      </c>
      <c r="D156" s="61">
        <v>100</v>
      </c>
      <c r="E156" s="59">
        <v>2475</v>
      </c>
      <c r="F156" s="276">
        <f t="shared" si="7"/>
        <v>247500</v>
      </c>
      <c r="H156" s="277"/>
      <c r="I156" s="277"/>
    </row>
    <row r="157" spans="1:9" ht="20.100000000000001" customHeight="1" x14ac:dyDescent="0.25">
      <c r="A157" s="61" t="s">
        <v>450</v>
      </c>
      <c r="B157" s="275" t="s">
        <v>255</v>
      </c>
      <c r="C157" s="61" t="s">
        <v>203</v>
      </c>
      <c r="D157" s="61">
        <v>3</v>
      </c>
      <c r="E157" s="59">
        <v>19500</v>
      </c>
      <c r="F157" s="276">
        <f t="shared" si="7"/>
        <v>58500</v>
      </c>
      <c r="H157" s="277"/>
      <c r="I157" s="277"/>
    </row>
    <row r="158" spans="1:9" ht="20.100000000000001" customHeight="1" x14ac:dyDescent="0.25">
      <c r="A158" s="61" t="s">
        <v>451</v>
      </c>
      <c r="B158" s="275" t="s">
        <v>256</v>
      </c>
      <c r="C158" s="61" t="s">
        <v>257</v>
      </c>
      <c r="D158" s="61">
        <v>2</v>
      </c>
      <c r="E158" s="59">
        <v>6650</v>
      </c>
      <c r="F158" s="276">
        <f t="shared" si="7"/>
        <v>13300</v>
      </c>
      <c r="H158" s="277"/>
      <c r="I158" s="277"/>
    </row>
    <row r="159" spans="1:9" ht="20.100000000000001" customHeight="1" x14ac:dyDescent="0.25">
      <c r="A159" s="61" t="s">
        <v>452</v>
      </c>
      <c r="B159" s="275" t="s">
        <v>272</v>
      </c>
      <c r="C159" s="61" t="s">
        <v>257</v>
      </c>
      <c r="D159" s="61">
        <v>15</v>
      </c>
      <c r="E159" s="59">
        <v>14000</v>
      </c>
      <c r="F159" s="276">
        <f t="shared" si="7"/>
        <v>210000</v>
      </c>
      <c r="H159" s="277"/>
      <c r="I159" s="277"/>
    </row>
    <row r="160" spans="1:9" ht="20.100000000000001" customHeight="1" x14ac:dyDescent="0.25">
      <c r="A160" s="61" t="s">
        <v>453</v>
      </c>
      <c r="B160" s="275" t="s">
        <v>258</v>
      </c>
      <c r="C160" s="61" t="s">
        <v>257</v>
      </c>
      <c r="D160" s="61">
        <v>6</v>
      </c>
      <c r="E160" s="59">
        <v>3460</v>
      </c>
      <c r="F160" s="276">
        <f t="shared" si="7"/>
        <v>20760</v>
      </c>
      <c r="H160" s="277"/>
      <c r="I160" s="277"/>
    </row>
    <row r="161" spans="1:9" ht="20.100000000000001" customHeight="1" x14ac:dyDescent="0.25">
      <c r="A161" s="61" t="s">
        <v>454</v>
      </c>
      <c r="B161" s="275" t="s">
        <v>455</v>
      </c>
      <c r="C161" s="61" t="s">
        <v>204</v>
      </c>
      <c r="D161" s="61">
        <v>245</v>
      </c>
      <c r="E161" s="59">
        <v>15000</v>
      </c>
      <c r="F161" s="276">
        <f t="shared" si="7"/>
        <v>3675000</v>
      </c>
      <c r="H161" s="277"/>
      <c r="I161" s="277"/>
    </row>
    <row r="162" spans="1:9" ht="20.100000000000001" customHeight="1" x14ac:dyDescent="0.25">
      <c r="A162" s="61" t="s">
        <v>456</v>
      </c>
      <c r="B162" s="275" t="s">
        <v>260</v>
      </c>
      <c r="C162" s="61" t="s">
        <v>204</v>
      </c>
      <c r="D162" s="61">
        <v>1</v>
      </c>
      <c r="E162" s="59">
        <v>150000</v>
      </c>
      <c r="F162" s="276">
        <f t="shared" si="7"/>
        <v>150000</v>
      </c>
      <c r="H162" s="277"/>
      <c r="I162" s="277"/>
    </row>
    <row r="163" spans="1:9" ht="20.100000000000001" customHeight="1" x14ac:dyDescent="0.25">
      <c r="A163" s="280"/>
      <c r="B163" s="281" t="s">
        <v>457</v>
      </c>
      <c r="C163" s="282" t="s">
        <v>458</v>
      </c>
      <c r="D163" s="283">
        <v>1</v>
      </c>
      <c r="E163" s="284">
        <v>47476010</v>
      </c>
      <c r="F163" s="276">
        <f t="shared" si="7"/>
        <v>47476010</v>
      </c>
      <c r="G163" s="260"/>
      <c r="H163" s="277"/>
      <c r="I163" s="285"/>
    </row>
    <row r="164" spans="1:9" s="294" customFormat="1" ht="20.100000000000001" customHeight="1" x14ac:dyDescent="0.25">
      <c r="A164" s="286"/>
      <c r="B164" s="287" t="s">
        <v>459</v>
      </c>
      <c r="C164" s="288"/>
      <c r="D164" s="289"/>
      <c r="E164" s="290"/>
      <c r="F164" s="290"/>
      <c r="G164" s="291"/>
      <c r="H164" s="292"/>
      <c r="I164" s="293"/>
    </row>
    <row r="165" spans="1:9" s="294" customFormat="1" ht="20.100000000000001" customHeight="1" x14ac:dyDescent="0.25">
      <c r="A165" s="286"/>
      <c r="B165" s="287" t="s">
        <v>460</v>
      </c>
      <c r="C165" s="288"/>
      <c r="D165" s="289"/>
      <c r="E165" s="290"/>
      <c r="F165" s="290"/>
      <c r="G165" s="291"/>
      <c r="H165" s="292"/>
      <c r="I165" s="293"/>
    </row>
    <row r="166" spans="1:9" s="294" customFormat="1" ht="20.100000000000001" customHeight="1" x14ac:dyDescent="0.25">
      <c r="A166" s="286"/>
      <c r="B166" s="287" t="s">
        <v>461</v>
      </c>
      <c r="C166" s="288"/>
      <c r="D166" s="289"/>
      <c r="E166" s="290"/>
      <c r="F166" s="290"/>
      <c r="G166" s="291"/>
      <c r="H166" s="292"/>
      <c r="I166" s="293"/>
    </row>
    <row r="167" spans="1:9" s="294" customFormat="1" ht="20.100000000000001" customHeight="1" x14ac:dyDescent="0.25">
      <c r="A167" s="286"/>
      <c r="B167" s="287" t="s">
        <v>462</v>
      </c>
      <c r="C167" s="288"/>
      <c r="D167" s="289"/>
      <c r="E167" s="290"/>
      <c r="F167" s="290"/>
      <c r="G167" s="291"/>
      <c r="H167" s="292"/>
      <c r="I167" s="293"/>
    </row>
    <row r="168" spans="1:9" s="294" customFormat="1" ht="20.100000000000001" customHeight="1" x14ac:dyDescent="0.25">
      <c r="A168" s="286"/>
      <c r="B168" s="287" t="s">
        <v>463</v>
      </c>
      <c r="C168" s="288"/>
      <c r="D168" s="289"/>
      <c r="E168" s="290"/>
      <c r="F168" s="290"/>
      <c r="G168" s="291"/>
      <c r="H168" s="292"/>
      <c r="I168" s="293"/>
    </row>
    <row r="169" spans="1:9" s="294" customFormat="1" ht="20.100000000000001" customHeight="1" x14ac:dyDescent="0.25">
      <c r="A169" s="286"/>
      <c r="B169" s="287" t="s">
        <v>464</v>
      </c>
      <c r="C169" s="288"/>
      <c r="D169" s="289"/>
      <c r="E169" s="290"/>
      <c r="F169" s="290"/>
      <c r="G169" s="291"/>
      <c r="H169" s="292"/>
      <c r="I169" s="293"/>
    </row>
    <row r="170" spans="1:9" s="294" customFormat="1" ht="20.100000000000001" customHeight="1" x14ac:dyDescent="0.25">
      <c r="A170" s="286"/>
      <c r="B170" s="287" t="s">
        <v>465</v>
      </c>
      <c r="C170" s="288"/>
      <c r="D170" s="289"/>
      <c r="E170" s="290"/>
      <c r="F170" s="290"/>
      <c r="G170" s="291"/>
      <c r="H170" s="292"/>
      <c r="I170" s="293"/>
    </row>
    <row r="171" spans="1:9" s="294" customFormat="1" ht="20.100000000000001" customHeight="1" x14ac:dyDescent="0.25">
      <c r="A171" s="286"/>
      <c r="B171" s="287" t="s">
        <v>466</v>
      </c>
      <c r="C171" s="288"/>
      <c r="D171" s="289"/>
      <c r="E171" s="290"/>
      <c r="F171" s="290"/>
      <c r="G171" s="291"/>
      <c r="H171" s="292"/>
      <c r="I171" s="293"/>
    </row>
    <row r="172" spans="1:9" s="294" customFormat="1" ht="20.100000000000001" customHeight="1" x14ac:dyDescent="0.25">
      <c r="A172" s="286"/>
      <c r="B172" s="287" t="s">
        <v>467</v>
      </c>
      <c r="C172" s="288"/>
      <c r="D172" s="289"/>
      <c r="E172" s="290"/>
      <c r="F172" s="290"/>
      <c r="G172" s="291"/>
      <c r="H172" s="292"/>
      <c r="I172" s="293"/>
    </row>
    <row r="173" spans="1:9" s="294" customFormat="1" ht="20.100000000000001" customHeight="1" x14ac:dyDescent="0.25">
      <c r="A173" s="286"/>
      <c r="B173" s="287" t="s">
        <v>468</v>
      </c>
      <c r="C173" s="288"/>
      <c r="D173" s="289"/>
      <c r="E173" s="290"/>
      <c r="F173" s="290"/>
      <c r="G173" s="291"/>
      <c r="H173" s="292"/>
      <c r="I173" s="293"/>
    </row>
    <row r="174" spans="1:9" ht="20.100000000000001" customHeight="1" x14ac:dyDescent="0.25">
      <c r="A174" s="280"/>
      <c r="B174" s="281" t="s">
        <v>469</v>
      </c>
      <c r="C174" s="282"/>
      <c r="D174" s="283"/>
      <c r="E174" s="284"/>
      <c r="F174" s="284"/>
      <c r="G174" s="260"/>
      <c r="H174" s="277"/>
      <c r="I174" s="285"/>
    </row>
    <row r="175" spans="1:9" ht="20.100000000000001" customHeight="1" x14ac:dyDescent="0.25">
      <c r="A175" s="280"/>
      <c r="B175" s="295" t="s">
        <v>470</v>
      </c>
      <c r="C175" s="296"/>
      <c r="D175" s="297"/>
      <c r="E175" s="284"/>
      <c r="F175" s="284"/>
      <c r="G175" s="260"/>
      <c r="H175" s="277"/>
      <c r="I175" s="285"/>
    </row>
    <row r="176" spans="1:9" s="306" customFormat="1" ht="20.100000000000001" customHeight="1" x14ac:dyDescent="0.25">
      <c r="A176" s="298"/>
      <c r="B176" s="299" t="s">
        <v>471</v>
      </c>
      <c r="C176" s="300" t="s">
        <v>472</v>
      </c>
      <c r="D176" s="301">
        <v>120</v>
      </c>
      <c r="E176" s="302"/>
      <c r="F176" s="302"/>
      <c r="G176" s="303"/>
      <c r="H176" s="304"/>
      <c r="I176" s="305"/>
    </row>
    <row r="177" spans="1:9" ht="20.100000000000001" customHeight="1" x14ac:dyDescent="0.25">
      <c r="A177" s="280"/>
      <c r="B177" s="307" t="s">
        <v>473</v>
      </c>
      <c r="C177" s="296"/>
      <c r="D177" s="297"/>
      <c r="E177" s="284"/>
      <c r="F177" s="284"/>
      <c r="G177" s="260"/>
      <c r="H177" s="277"/>
      <c r="I177" s="285"/>
    </row>
    <row r="178" spans="1:9" ht="20.100000000000001" customHeight="1" x14ac:dyDescent="0.25">
      <c r="A178" s="308"/>
      <c r="B178" s="309"/>
      <c r="C178" s="296"/>
      <c r="D178" s="310"/>
      <c r="E178" s="311"/>
      <c r="F178" s="284"/>
      <c r="G178" s="260"/>
      <c r="H178" s="277"/>
      <c r="I178" s="285"/>
    </row>
    <row r="179" spans="1:9" ht="20.100000000000001" customHeight="1" x14ac:dyDescent="0.25">
      <c r="A179" s="200"/>
      <c r="B179" s="312"/>
      <c r="C179" s="313"/>
      <c r="D179" s="314"/>
      <c r="E179" s="315"/>
      <c r="F179" s="316"/>
    </row>
    <row r="180" spans="1:9" ht="20.100000000000001" customHeight="1" x14ac:dyDescent="0.25">
      <c r="A180" s="317"/>
      <c r="B180" s="318"/>
      <c r="C180" s="319"/>
      <c r="D180" s="320"/>
      <c r="E180" s="321"/>
      <c r="F180" s="322"/>
      <c r="G180" s="323"/>
    </row>
    <row r="181" spans="1:9" s="100" customFormat="1" ht="20.100000000000001" customHeight="1" x14ac:dyDescent="0.25">
      <c r="A181" s="453" t="s">
        <v>474</v>
      </c>
      <c r="B181" s="453"/>
      <c r="C181" s="453"/>
      <c r="D181" s="453"/>
      <c r="E181" s="453"/>
      <c r="F181" s="324">
        <f>SUM(F14:F179)</f>
        <v>466780092</v>
      </c>
      <c r="G181" s="260"/>
    </row>
    <row r="182" spans="1:9" s="100" customFormat="1" ht="20.100000000000001" customHeight="1" x14ac:dyDescent="0.25">
      <c r="A182" s="453" t="s">
        <v>475</v>
      </c>
      <c r="B182" s="453"/>
      <c r="C182" s="453"/>
      <c r="D182" s="453"/>
      <c r="E182" s="453"/>
      <c r="F182" s="325">
        <f>+F181*0.18</f>
        <v>84020416.560000002</v>
      </c>
      <c r="G182" s="260"/>
    </row>
    <row r="183" spans="1:9" s="100" customFormat="1" ht="20.100000000000001" customHeight="1" x14ac:dyDescent="0.25">
      <c r="A183" s="453" t="s">
        <v>476</v>
      </c>
      <c r="B183" s="453"/>
      <c r="C183" s="453"/>
      <c r="D183" s="453"/>
      <c r="E183" s="453"/>
      <c r="F183" s="324">
        <f>SUM(F181:F182)</f>
        <v>550800508.55999994</v>
      </c>
      <c r="G183" s="260"/>
    </row>
    <row r="184" spans="1:9" s="100" customFormat="1" x14ac:dyDescent="0.25">
      <c r="E184" s="260"/>
      <c r="F184" s="264"/>
      <c r="G184" s="260"/>
    </row>
    <row r="185" spans="1:9" s="100" customFormat="1" x14ac:dyDescent="0.25">
      <c r="A185" s="326" t="s">
        <v>477</v>
      </c>
      <c r="E185" s="260"/>
      <c r="F185" s="264"/>
      <c r="G185" s="260"/>
    </row>
    <row r="186" spans="1:9" s="100" customFormat="1" x14ac:dyDescent="0.25">
      <c r="E186" s="260"/>
      <c r="F186" s="264"/>
      <c r="G186" s="260"/>
    </row>
    <row r="187" spans="1:9" s="100" customFormat="1" x14ac:dyDescent="0.25">
      <c r="E187" s="260"/>
      <c r="F187" s="264"/>
      <c r="G187" s="260"/>
    </row>
    <row r="188" spans="1:9" s="100" customFormat="1" x14ac:dyDescent="0.25">
      <c r="E188" s="260"/>
      <c r="F188" s="264"/>
      <c r="G188" s="260"/>
    </row>
    <row r="189" spans="1:9" s="100" customFormat="1" x14ac:dyDescent="0.25">
      <c r="A189" s="327" t="s">
        <v>478</v>
      </c>
      <c r="E189" s="260"/>
      <c r="F189" s="264"/>
      <c r="G189" s="260"/>
    </row>
    <row r="190" spans="1:9" s="100" customFormat="1" x14ac:dyDescent="0.25">
      <c r="E190" s="260"/>
      <c r="F190" s="264"/>
      <c r="G190" s="260"/>
    </row>
  </sheetData>
  <mergeCells count="3">
    <mergeCell ref="A181:E181"/>
    <mergeCell ref="A182:E182"/>
    <mergeCell ref="A183:E18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9">
    <outlinePr summaryBelow="0" summaryRight="0"/>
  </sheetPr>
  <dimension ref="A1:AF46"/>
  <sheetViews>
    <sheetView workbookViewId="0">
      <pane xSplit="8" ySplit="2" topLeftCell="I3" activePane="bottomRight" state="frozen"/>
      <selection activeCell="F29" sqref="F29"/>
      <selection pane="topRight" activeCell="F29" sqref="F29"/>
      <selection pane="bottomLeft" activeCell="F29" sqref="F29"/>
      <selection pane="bottomRight" activeCell="B13" sqref="B13"/>
    </sheetView>
  </sheetViews>
  <sheetFormatPr baseColWidth="10" defaultColWidth="11.5703125" defaultRowHeight="15.75" outlineLevelCol="1" x14ac:dyDescent="0.25"/>
  <cols>
    <col min="1" max="1" width="6.5703125" style="100" customWidth="1"/>
    <col min="2" max="2" width="52.7109375" style="100" customWidth="1"/>
    <col min="3" max="3" width="8.28515625" style="100" customWidth="1"/>
    <col min="4" max="4" width="9.42578125" style="173" customWidth="1"/>
    <col min="5" max="5" width="14.140625" style="100" customWidth="1"/>
    <col min="6" max="6" width="16.140625" style="100" customWidth="1"/>
    <col min="7" max="7" width="18.5703125" style="100" customWidth="1"/>
    <col min="8" max="8" width="14" style="100" customWidth="1"/>
    <col min="9" max="9" width="14.28515625" style="100" customWidth="1" outlineLevel="1"/>
    <col min="10" max="32" width="12.5703125" style="100" customWidth="1" outlineLevel="1"/>
    <col min="33" max="16384" width="11.5703125" style="100"/>
  </cols>
  <sheetData>
    <row r="1" spans="1:32" x14ac:dyDescent="0.25">
      <c r="A1" s="125" t="s">
        <v>105</v>
      </c>
      <c r="H1" s="131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</row>
    <row r="2" spans="1:32" x14ac:dyDescent="0.25">
      <c r="A2" s="133" t="s">
        <v>1</v>
      </c>
      <c r="B2" s="133" t="s">
        <v>35</v>
      </c>
      <c r="C2" s="133" t="s">
        <v>47</v>
      </c>
      <c r="D2" s="173" t="s">
        <v>36</v>
      </c>
      <c r="E2" s="133" t="s">
        <v>37</v>
      </c>
      <c r="F2" s="133" t="s">
        <v>54</v>
      </c>
      <c r="G2" s="133" t="s">
        <v>33</v>
      </c>
      <c r="H2" s="133" t="s">
        <v>41</v>
      </c>
      <c r="I2" s="134" t="s">
        <v>73</v>
      </c>
      <c r="J2" s="98" t="s">
        <v>74</v>
      </c>
      <c r="K2" s="134" t="s">
        <v>75</v>
      </c>
      <c r="L2" s="98" t="s">
        <v>76</v>
      </c>
      <c r="M2" s="134" t="s">
        <v>77</v>
      </c>
      <c r="N2" s="98" t="s">
        <v>78</v>
      </c>
      <c r="O2" s="134" t="s">
        <v>79</v>
      </c>
      <c r="P2" s="98" t="s">
        <v>80</v>
      </c>
      <c r="Q2" s="134" t="s">
        <v>81</v>
      </c>
      <c r="R2" s="98" t="s">
        <v>82</v>
      </c>
      <c r="S2" s="134" t="s">
        <v>83</v>
      </c>
      <c r="T2" s="98" t="s">
        <v>84</v>
      </c>
      <c r="U2" s="134" t="s">
        <v>85</v>
      </c>
      <c r="V2" s="98" t="s">
        <v>86</v>
      </c>
      <c r="W2" s="134" t="s">
        <v>87</v>
      </c>
      <c r="X2" s="98" t="s">
        <v>88</v>
      </c>
      <c r="Y2" s="134" t="s">
        <v>89</v>
      </c>
      <c r="Z2" s="98" t="s">
        <v>90</v>
      </c>
      <c r="AA2" s="134" t="s">
        <v>91</v>
      </c>
      <c r="AB2" s="98" t="s">
        <v>92</v>
      </c>
      <c r="AC2" s="134" t="s">
        <v>93</v>
      </c>
      <c r="AD2" s="98" t="s">
        <v>94</v>
      </c>
      <c r="AE2" s="134" t="s">
        <v>95</v>
      </c>
      <c r="AF2" s="98" t="s">
        <v>96</v>
      </c>
    </row>
    <row r="3" spans="1:32" x14ac:dyDescent="0.25">
      <c r="A3" s="135">
        <v>1</v>
      </c>
      <c r="B3" s="201" t="s">
        <v>225</v>
      </c>
      <c r="C3" s="202"/>
      <c r="D3" s="203"/>
      <c r="E3" s="61"/>
      <c r="F3" s="140"/>
      <c r="G3" s="136"/>
      <c r="H3" s="137"/>
      <c r="I3" s="138"/>
      <c r="J3" s="139"/>
      <c r="K3" s="138"/>
      <c r="L3" s="139"/>
      <c r="M3" s="138"/>
      <c r="N3" s="139"/>
      <c r="O3" s="138"/>
      <c r="P3" s="139"/>
      <c r="Q3" s="138"/>
      <c r="R3" s="139"/>
      <c r="S3" s="138"/>
      <c r="T3" s="139"/>
      <c r="U3" s="138"/>
      <c r="V3" s="139"/>
      <c r="W3" s="138"/>
      <c r="X3" s="139"/>
      <c r="Y3" s="138"/>
      <c r="Z3" s="139"/>
      <c r="AA3" s="138"/>
      <c r="AB3" s="139"/>
      <c r="AC3" s="138"/>
      <c r="AD3" s="139"/>
      <c r="AE3" s="138"/>
      <c r="AF3" s="139"/>
    </row>
    <row r="4" spans="1:32" x14ac:dyDescent="0.25">
      <c r="A4" s="217">
        <v>2</v>
      </c>
      <c r="B4" s="200" t="s">
        <v>221</v>
      </c>
      <c r="C4" s="61" t="s">
        <v>203</v>
      </c>
      <c r="D4" s="197">
        <v>2000</v>
      </c>
      <c r="E4" s="143"/>
      <c r="F4" s="144">
        <f>Sous_traitance[[#This Row],[Qté]]*Sous_traitance[[#This Row],[Prix unitaire]]</f>
        <v>0</v>
      </c>
      <c r="G4" s="145"/>
      <c r="H4" s="137">
        <f>SUM(Sous_traitance[[#This Row],[J01]:[J24]])</f>
        <v>0</v>
      </c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</row>
    <row r="5" spans="1:32" x14ac:dyDescent="0.25">
      <c r="A5" s="135">
        <v>3</v>
      </c>
      <c r="B5" s="200" t="s">
        <v>222</v>
      </c>
      <c r="C5" s="61" t="s">
        <v>205</v>
      </c>
      <c r="D5" s="242">
        <v>1800</v>
      </c>
      <c r="E5" s="143"/>
      <c r="F5" s="144">
        <f>Sous_traitance[[#This Row],[Qté]]*Sous_traitance[[#This Row],[Prix unitaire]]</f>
        <v>0</v>
      </c>
      <c r="G5" s="145"/>
      <c r="H5" s="137">
        <f>SUM(Sous_traitance[[#This Row],[J01]:[J24]])</f>
        <v>0</v>
      </c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</row>
    <row r="6" spans="1:32" x14ac:dyDescent="0.25">
      <c r="A6" s="217">
        <v>4</v>
      </c>
      <c r="B6" s="200" t="s">
        <v>223</v>
      </c>
      <c r="C6" s="61" t="s">
        <v>205</v>
      </c>
      <c r="D6" s="242">
        <v>300</v>
      </c>
      <c r="E6" s="143"/>
      <c r="F6" s="144">
        <f>Sous_traitance[[#This Row],[Qté]]*Sous_traitance[[#This Row],[Prix unitaire]]</f>
        <v>0</v>
      </c>
      <c r="G6" s="145"/>
      <c r="H6" s="137">
        <f>SUM(Sous_traitance[[#This Row],[J01]:[J24]])</f>
        <v>0</v>
      </c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</row>
    <row r="7" spans="1:32" x14ac:dyDescent="0.25">
      <c r="A7" s="135">
        <v>5</v>
      </c>
      <c r="B7" s="200" t="s">
        <v>224</v>
      </c>
      <c r="C7" s="61" t="s">
        <v>203</v>
      </c>
      <c r="D7" s="242">
        <v>50</v>
      </c>
      <c r="E7" s="143"/>
      <c r="F7" s="144">
        <f>Sous_traitance[[#This Row],[Qté]]*Sous_traitance[[#This Row],[Prix unitaire]]</f>
        <v>0</v>
      </c>
      <c r="G7" s="145"/>
      <c r="H7" s="137">
        <f>SUM(Sous_traitance[[#This Row],[J01]:[J24]])</f>
        <v>0</v>
      </c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</row>
    <row r="8" spans="1:32" x14ac:dyDescent="0.25">
      <c r="A8" s="217">
        <v>6</v>
      </c>
      <c r="B8" s="201" t="s">
        <v>226</v>
      </c>
      <c r="C8" s="203"/>
      <c r="D8" s="61"/>
      <c r="E8" s="143"/>
      <c r="F8" s="144">
        <f>Sous_traitance[[#This Row],[Qté]]*Sous_traitance[[#This Row],[Prix unitaire]]</f>
        <v>0</v>
      </c>
      <c r="G8" s="145"/>
      <c r="H8" s="137">
        <f>SUM(Sous_traitance[[#This Row],[J01]:[J24]])</f>
        <v>0</v>
      </c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</row>
    <row r="9" spans="1:32" x14ac:dyDescent="0.25">
      <c r="A9" s="135">
        <v>7</v>
      </c>
      <c r="B9" s="200" t="s">
        <v>221</v>
      </c>
      <c r="C9" s="61" t="s">
        <v>203</v>
      </c>
      <c r="D9" s="242">
        <v>41</v>
      </c>
      <c r="E9" s="143"/>
      <c r="F9" s="144">
        <f>Sous_traitance[[#This Row],[Qté]]*Sous_traitance[[#This Row],[Prix unitaire]]</f>
        <v>0</v>
      </c>
      <c r="G9" s="145"/>
      <c r="H9" s="137">
        <f>SUM(Sous_traitance[[#This Row],[J01]:[J24]])</f>
        <v>0</v>
      </c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</row>
    <row r="10" spans="1:32" x14ac:dyDescent="0.25">
      <c r="A10" s="217">
        <v>8</v>
      </c>
      <c r="B10" s="200" t="s">
        <v>222</v>
      </c>
      <c r="C10" s="61" t="s">
        <v>205</v>
      </c>
      <c r="D10" s="242">
        <v>1575</v>
      </c>
      <c r="E10" s="143"/>
      <c r="F10" s="144">
        <f>Sous_traitance[[#This Row],[Qté]]*Sous_traitance[[#This Row],[Prix unitaire]]</f>
        <v>0</v>
      </c>
      <c r="G10" s="145"/>
      <c r="H10" s="137">
        <f>SUM(Sous_traitance[[#This Row],[J01]:[J24]])</f>
        <v>0</v>
      </c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</row>
    <row r="11" spans="1:32" x14ac:dyDescent="0.25">
      <c r="A11" s="135">
        <v>9</v>
      </c>
      <c r="B11" s="200" t="s">
        <v>224</v>
      </c>
      <c r="C11" s="61" t="s">
        <v>203</v>
      </c>
      <c r="D11" s="242">
        <v>41</v>
      </c>
      <c r="E11" s="143"/>
      <c r="F11" s="144">
        <f>Sous_traitance[[#This Row],[Qté]]*Sous_traitance[[#This Row],[Prix unitaire]]</f>
        <v>0</v>
      </c>
      <c r="G11" s="145"/>
      <c r="H11" s="137">
        <f>SUM(Sous_traitance[[#This Row],[J01]:[J24]])</f>
        <v>0</v>
      </c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</row>
    <row r="12" spans="1:32" x14ac:dyDescent="0.25">
      <c r="A12" s="217">
        <v>10</v>
      </c>
      <c r="B12" s="200" t="s">
        <v>223</v>
      </c>
      <c r="C12" s="61" t="s">
        <v>205</v>
      </c>
      <c r="D12" s="242">
        <v>250</v>
      </c>
      <c r="E12" s="143"/>
      <c r="F12" s="144">
        <f>Sous_traitance[[#This Row],[Qté]]*Sous_traitance[[#This Row],[Prix unitaire]]</f>
        <v>0</v>
      </c>
      <c r="G12" s="145"/>
      <c r="H12" s="137">
        <f>SUM(Sous_traitance[[#This Row],[J01]:[J24]])</f>
        <v>0</v>
      </c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</row>
    <row r="13" spans="1:32" x14ac:dyDescent="0.25">
      <c r="A13" s="135">
        <v>11</v>
      </c>
      <c r="B13" s="201" t="s">
        <v>227</v>
      </c>
      <c r="C13" s="203"/>
      <c r="D13" s="61"/>
      <c r="E13" s="143"/>
      <c r="F13" s="144">
        <f>Sous_traitance[[#This Row],[Qté]]*Sous_traitance[[#This Row],[Prix unitaire]]</f>
        <v>0</v>
      </c>
      <c r="G13" s="145"/>
      <c r="H13" s="137">
        <f>SUM(Sous_traitance[[#This Row],[J01]:[J24]])</f>
        <v>0</v>
      </c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</row>
    <row r="14" spans="1:32" x14ac:dyDescent="0.25">
      <c r="A14" s="217">
        <v>12</v>
      </c>
      <c r="B14" s="200" t="s">
        <v>221</v>
      </c>
      <c r="C14" s="61" t="s">
        <v>203</v>
      </c>
      <c r="D14" s="242">
        <v>16</v>
      </c>
      <c r="E14" s="143"/>
      <c r="F14" s="144">
        <f>Sous_traitance[[#This Row],[Qté]]*Sous_traitance[[#This Row],[Prix unitaire]]</f>
        <v>0</v>
      </c>
      <c r="G14" s="145"/>
      <c r="H14" s="137">
        <f>SUM(Sous_traitance[[#This Row],[J01]:[J24]])</f>
        <v>0</v>
      </c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</row>
    <row r="15" spans="1:32" x14ac:dyDescent="0.25">
      <c r="A15" s="135">
        <v>13</v>
      </c>
      <c r="B15" s="200" t="s">
        <v>222</v>
      </c>
      <c r="C15" s="61" t="s">
        <v>205</v>
      </c>
      <c r="D15" s="242">
        <v>700</v>
      </c>
      <c r="E15" s="143"/>
      <c r="F15" s="144">
        <f>Sous_traitance[[#This Row],[Qté]]*Sous_traitance[[#This Row],[Prix unitaire]]</f>
        <v>0</v>
      </c>
      <c r="G15" s="145"/>
      <c r="H15" s="137">
        <f>SUM(Sous_traitance[[#This Row],[J01]:[J24]])</f>
        <v>0</v>
      </c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</row>
    <row r="16" spans="1:32" x14ac:dyDescent="0.25">
      <c r="A16" s="217">
        <v>14</v>
      </c>
      <c r="B16" s="200" t="s">
        <v>223</v>
      </c>
      <c r="C16" s="61" t="s">
        <v>205</v>
      </c>
      <c r="D16" s="242">
        <v>500</v>
      </c>
      <c r="E16" s="143"/>
      <c r="F16" s="144">
        <f>Sous_traitance[[#This Row],[Qté]]*Sous_traitance[[#This Row],[Prix unitaire]]</f>
        <v>0</v>
      </c>
      <c r="G16" s="145"/>
      <c r="H16" s="137">
        <f>SUM(Sous_traitance[[#This Row],[J01]:[J24]])</f>
        <v>0</v>
      </c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</row>
    <row r="17" spans="1:32" x14ac:dyDescent="0.25">
      <c r="A17" s="135">
        <v>15</v>
      </c>
      <c r="B17" s="200" t="s">
        <v>224</v>
      </c>
      <c r="C17" s="61" t="s">
        <v>203</v>
      </c>
      <c r="D17" s="242">
        <v>16</v>
      </c>
      <c r="E17" s="143"/>
      <c r="F17" s="144">
        <f>Sous_traitance[[#This Row],[Qté]]*Sous_traitance[[#This Row],[Prix unitaire]]</f>
        <v>0</v>
      </c>
      <c r="G17" s="145"/>
      <c r="H17" s="137">
        <f>SUM(Sous_traitance[[#This Row],[J01]:[J24]])</f>
        <v>0</v>
      </c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</row>
    <row r="18" spans="1:32" x14ac:dyDescent="0.25">
      <c r="A18" s="217">
        <v>16</v>
      </c>
      <c r="B18" s="211" t="s">
        <v>262</v>
      </c>
      <c r="C18" s="212"/>
      <c r="D18" s="243"/>
      <c r="E18" s="143"/>
      <c r="F18" s="144">
        <f>Sous_traitance[[#This Row],[Qté]]*Sous_traitance[[#This Row],[Prix unitaire]]</f>
        <v>0</v>
      </c>
      <c r="G18" s="145"/>
      <c r="H18" s="137">
        <f>SUM(Sous_traitance[[#This Row],[J01]:[J24]])</f>
        <v>0</v>
      </c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</row>
    <row r="19" spans="1:32" x14ac:dyDescent="0.25">
      <c r="A19" s="135">
        <v>17</v>
      </c>
      <c r="B19" s="200" t="s">
        <v>238</v>
      </c>
      <c r="C19" s="207" t="s">
        <v>203</v>
      </c>
      <c r="D19" s="242">
        <v>2</v>
      </c>
      <c r="E19" s="143"/>
      <c r="F19" s="144">
        <f>Sous_traitance[[#This Row],[Qté]]*Sous_traitance[[#This Row],[Prix unitaire]]</f>
        <v>0</v>
      </c>
      <c r="G19" s="145"/>
      <c r="H19" s="137">
        <f>SUM(Sous_traitance[[#This Row],[J01]:[J24]])</f>
        <v>0</v>
      </c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</row>
    <row r="20" spans="1:32" x14ac:dyDescent="0.25">
      <c r="A20" s="217">
        <v>18</v>
      </c>
      <c r="B20" s="200" t="s">
        <v>239</v>
      </c>
      <c r="C20" s="207" t="s">
        <v>203</v>
      </c>
      <c r="D20" s="242">
        <v>2</v>
      </c>
      <c r="E20" s="143"/>
      <c r="F20" s="144">
        <f>Sous_traitance[[#This Row],[Qté]]*Sous_traitance[[#This Row],[Prix unitaire]]</f>
        <v>0</v>
      </c>
      <c r="G20" s="145"/>
      <c r="H20" s="137">
        <f>SUM(Sous_traitance[[#This Row],[J01]:[J24]])</f>
        <v>0</v>
      </c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</row>
    <row r="21" spans="1:32" x14ac:dyDescent="0.25">
      <c r="A21" s="135">
        <v>19</v>
      </c>
      <c r="B21" s="200" t="s">
        <v>240</v>
      </c>
      <c r="C21" s="207" t="s">
        <v>203</v>
      </c>
      <c r="D21" s="242">
        <v>2</v>
      </c>
      <c r="E21" s="143"/>
      <c r="F21" s="144">
        <f>Sous_traitance[[#This Row],[Qté]]*Sous_traitance[[#This Row],[Prix unitaire]]</f>
        <v>0</v>
      </c>
      <c r="G21" s="145"/>
      <c r="H21" s="137">
        <f>SUM(Sous_traitance[[#This Row],[J01]:[J24]])</f>
        <v>0</v>
      </c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</row>
    <row r="22" spans="1:32" x14ac:dyDescent="0.25">
      <c r="A22" s="217">
        <v>20</v>
      </c>
      <c r="B22" s="200" t="s">
        <v>241</v>
      </c>
      <c r="C22" s="207" t="s">
        <v>203</v>
      </c>
      <c r="D22" s="242">
        <v>2</v>
      </c>
      <c r="E22" s="143"/>
      <c r="F22" s="144">
        <f>Sous_traitance[[#This Row],[Qté]]*Sous_traitance[[#This Row],[Prix unitaire]]</f>
        <v>0</v>
      </c>
      <c r="G22" s="145"/>
      <c r="H22" s="137">
        <f>SUM(Sous_traitance[[#This Row],[J01]:[J24]])</f>
        <v>0</v>
      </c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</row>
    <row r="23" spans="1:32" x14ac:dyDescent="0.25">
      <c r="A23" s="135">
        <v>21</v>
      </c>
      <c r="B23" s="206" t="s">
        <v>258</v>
      </c>
      <c r="C23" s="207" t="s">
        <v>257</v>
      </c>
      <c r="D23" s="244">
        <v>2</v>
      </c>
      <c r="E23" s="143"/>
      <c r="F23" s="144">
        <f>Sous_traitance[[#This Row],[Qté]]*Sous_traitance[[#This Row],[Prix unitaire]]</f>
        <v>0</v>
      </c>
      <c r="G23" s="145"/>
      <c r="H23" s="137">
        <f>SUM(Sous_traitance[[#This Row],[J01]:[J24]])</f>
        <v>0</v>
      </c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</row>
    <row r="24" spans="1:32" x14ac:dyDescent="0.25">
      <c r="A24" s="217">
        <v>22</v>
      </c>
      <c r="B24" s="206" t="s">
        <v>259</v>
      </c>
      <c r="C24" s="207"/>
      <c r="D24" s="244">
        <v>100</v>
      </c>
      <c r="E24" s="143"/>
      <c r="F24" s="144">
        <f>Sous_traitance[[#This Row],[Qté]]*Sous_traitance[[#This Row],[Prix unitaire]]</f>
        <v>0</v>
      </c>
      <c r="G24" s="145"/>
      <c r="H24" s="137">
        <f>SUM(Sous_traitance[[#This Row],[J01]:[J24]])</f>
        <v>0</v>
      </c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</row>
    <row r="25" spans="1:32" x14ac:dyDescent="0.25">
      <c r="A25" s="135">
        <v>23</v>
      </c>
      <c r="B25" s="206" t="s">
        <v>260</v>
      </c>
      <c r="C25" s="207" t="s">
        <v>204</v>
      </c>
      <c r="D25" s="244">
        <v>1</v>
      </c>
      <c r="E25" s="143"/>
      <c r="F25" s="144">
        <f>Sous_traitance[[#This Row],[Qté]]*Sous_traitance[[#This Row],[Prix unitaire]]</f>
        <v>0</v>
      </c>
      <c r="G25" s="145"/>
      <c r="H25" s="137">
        <f>SUM(Sous_traitance[[#This Row],[J01]:[J24]])</f>
        <v>0</v>
      </c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</row>
    <row r="26" spans="1:32" x14ac:dyDescent="0.25">
      <c r="A26" s="217">
        <v>24</v>
      </c>
      <c r="B26" s="201" t="s">
        <v>261</v>
      </c>
      <c r="C26" s="210"/>
      <c r="D26" s="203"/>
      <c r="E26" s="143"/>
      <c r="F26" s="144">
        <f>Sous_traitance[[#This Row],[Qté]]*Sous_traitance[[#This Row],[Prix unitaire]]</f>
        <v>0</v>
      </c>
      <c r="G26" s="145"/>
      <c r="H26" s="137">
        <f>SUM(Sous_traitance[[#This Row],[J01]:[J24]])</f>
        <v>0</v>
      </c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</row>
    <row r="27" spans="1:32" x14ac:dyDescent="0.25">
      <c r="A27" s="135">
        <v>25</v>
      </c>
      <c r="B27" s="200" t="s">
        <v>221</v>
      </c>
      <c r="C27" s="207" t="s">
        <v>203</v>
      </c>
      <c r="D27" s="242">
        <v>128</v>
      </c>
      <c r="E27" s="143"/>
      <c r="F27" s="144">
        <f>Sous_traitance[[#This Row],[Qté]]*Sous_traitance[[#This Row],[Prix unitaire]]</f>
        <v>0</v>
      </c>
      <c r="G27" s="145"/>
      <c r="H27" s="137">
        <f>SUM(Sous_traitance[[#This Row],[J01]:[J24]])</f>
        <v>0</v>
      </c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</row>
    <row r="28" spans="1:32" x14ac:dyDescent="0.25">
      <c r="A28" s="217">
        <v>26</v>
      </c>
      <c r="B28" s="200" t="s">
        <v>222</v>
      </c>
      <c r="C28" s="207" t="s">
        <v>205</v>
      </c>
      <c r="D28" s="242">
        <v>1200</v>
      </c>
      <c r="E28" s="143"/>
      <c r="F28" s="144">
        <f>Sous_traitance[[#This Row],[Qté]]*Sous_traitance[[#This Row],[Prix unitaire]]</f>
        <v>0</v>
      </c>
      <c r="G28" s="145"/>
      <c r="H28" s="137">
        <f>SUM(Sous_traitance[[#This Row],[J01]:[J24]])</f>
        <v>0</v>
      </c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</row>
    <row r="29" spans="1:32" x14ac:dyDescent="0.25">
      <c r="A29" s="135">
        <v>27</v>
      </c>
      <c r="B29" s="200" t="s">
        <v>223</v>
      </c>
      <c r="C29" s="207" t="s">
        <v>205</v>
      </c>
      <c r="D29" s="242">
        <v>4800</v>
      </c>
      <c r="E29" s="143"/>
      <c r="F29" s="144">
        <f>Sous_traitance[[#This Row],[Qté]]*Sous_traitance[[#This Row],[Prix unitaire]]</f>
        <v>0</v>
      </c>
      <c r="G29" s="145"/>
      <c r="H29" s="137">
        <f>SUM(Sous_traitance[[#This Row],[J01]:[J24]])</f>
        <v>0</v>
      </c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</row>
    <row r="30" spans="1:32" x14ac:dyDescent="0.25">
      <c r="A30" s="234"/>
      <c r="B30" s="235" t="s">
        <v>275</v>
      </c>
      <c r="C30" s="236" t="s">
        <v>205</v>
      </c>
      <c r="D30" s="247">
        <v>60</v>
      </c>
      <c r="E30" s="237"/>
      <c r="F30" s="238">
        <f>Sous_traitance[[#This Row],[Qté]]*Sous_traitance[[#This Row],[Prix unitaire]]</f>
        <v>0</v>
      </c>
      <c r="G30" s="239"/>
      <c r="H30" s="240">
        <f>SUM(Sous_traitance[[#This Row],[J01]:[J24]])</f>
        <v>0</v>
      </c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</row>
    <row r="31" spans="1:32" x14ac:dyDescent="0.25">
      <c r="A31" s="234"/>
      <c r="B31" s="235" t="s">
        <v>276</v>
      </c>
      <c r="C31" s="236" t="s">
        <v>205</v>
      </c>
      <c r="D31" s="247">
        <v>150</v>
      </c>
      <c r="E31" s="237"/>
      <c r="F31" s="238">
        <f>Sous_traitance[[#This Row],[Qté]]*Sous_traitance[[#This Row],[Prix unitaire]]</f>
        <v>0</v>
      </c>
      <c r="G31" s="239"/>
      <c r="H31" s="240">
        <f>SUM(Sous_traitance[[#This Row],[J01]:[J24]])</f>
        <v>0</v>
      </c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</row>
    <row r="32" spans="1:32" x14ac:dyDescent="0.25">
      <c r="A32" s="217">
        <v>28</v>
      </c>
      <c r="B32" s="200" t="s">
        <v>224</v>
      </c>
      <c r="C32" s="207" t="s">
        <v>203</v>
      </c>
      <c r="D32" s="242">
        <v>128</v>
      </c>
      <c r="E32" s="143"/>
      <c r="F32" s="144">
        <f>Sous_traitance[[#This Row],[Qté]]*Sous_traitance[[#This Row],[Prix unitaire]]</f>
        <v>0</v>
      </c>
      <c r="G32" s="145"/>
      <c r="H32" s="137">
        <f>SUM(Sous_traitance[[#This Row],[J01]:[J24]])</f>
        <v>0</v>
      </c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</row>
    <row r="33" spans="1:32" x14ac:dyDescent="0.25">
      <c r="A33" s="135">
        <v>29</v>
      </c>
      <c r="B33" s="201" t="s">
        <v>263</v>
      </c>
      <c r="C33" s="203"/>
      <c r="D33" s="245"/>
      <c r="E33" s="143"/>
      <c r="F33" s="144">
        <f>Sous_traitance[[#This Row],[Qté]]*Sous_traitance[[#This Row],[Prix unitaire]]</f>
        <v>0</v>
      </c>
      <c r="G33" s="145"/>
      <c r="H33" s="137">
        <f>SUM(Sous_traitance[[#This Row],[J01]:[J24]])</f>
        <v>0</v>
      </c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</row>
    <row r="34" spans="1:32" x14ac:dyDescent="0.25">
      <c r="A34" s="217">
        <v>30</v>
      </c>
      <c r="B34" s="200" t="s">
        <v>221</v>
      </c>
      <c r="C34" s="207" t="s">
        <v>203</v>
      </c>
      <c r="D34" s="242">
        <v>117</v>
      </c>
      <c r="E34" s="143"/>
      <c r="F34" s="144">
        <f>Sous_traitance[[#This Row],[Qté]]*Sous_traitance[[#This Row],[Prix unitaire]]</f>
        <v>0</v>
      </c>
      <c r="G34" s="145"/>
      <c r="H34" s="137">
        <f>SUM(Sous_traitance[[#This Row],[J01]:[J24]])</f>
        <v>0</v>
      </c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</row>
    <row r="35" spans="1:32" x14ac:dyDescent="0.25">
      <c r="A35" s="135">
        <v>31</v>
      </c>
      <c r="B35" s="200" t="s">
        <v>222</v>
      </c>
      <c r="C35" s="207" t="s">
        <v>205</v>
      </c>
      <c r="D35" s="242">
        <v>1200</v>
      </c>
      <c r="E35" s="143"/>
      <c r="F35" s="144">
        <f>Sous_traitance[[#This Row],[Qté]]*Sous_traitance[[#This Row],[Prix unitaire]]</f>
        <v>0</v>
      </c>
      <c r="G35" s="145"/>
      <c r="H35" s="137">
        <f>SUM(Sous_traitance[[#This Row],[J01]:[J24]])</f>
        <v>0</v>
      </c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</row>
    <row r="36" spans="1:32" x14ac:dyDescent="0.25">
      <c r="A36" s="217">
        <v>32</v>
      </c>
      <c r="B36" s="200" t="s">
        <v>223</v>
      </c>
      <c r="C36" s="207" t="s">
        <v>205</v>
      </c>
      <c r="D36" s="242">
        <v>5250</v>
      </c>
      <c r="E36" s="143"/>
      <c r="F36" s="144">
        <f>Sous_traitance[[#This Row],[Qté]]*Sous_traitance[[#This Row],[Prix unitaire]]</f>
        <v>0</v>
      </c>
      <c r="G36" s="145"/>
      <c r="H36" s="137">
        <f>SUM(Sous_traitance[[#This Row],[J01]:[J24]])</f>
        <v>0</v>
      </c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</row>
    <row r="37" spans="1:32" x14ac:dyDescent="0.25">
      <c r="A37" s="135">
        <v>33</v>
      </c>
      <c r="B37" s="200" t="s">
        <v>224</v>
      </c>
      <c r="C37" s="207" t="s">
        <v>203</v>
      </c>
      <c r="D37" s="242">
        <v>117</v>
      </c>
      <c r="E37" s="143"/>
      <c r="F37" s="144">
        <f>Sous_traitance[[#This Row],[Qté]]*Sous_traitance[[#This Row],[Prix unitaire]]</f>
        <v>0</v>
      </c>
      <c r="G37" s="145"/>
      <c r="H37" s="137">
        <f>SUM(Sous_traitance[[#This Row],[J01]:[J24]])</f>
        <v>0</v>
      </c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</row>
    <row r="38" spans="1:32" x14ac:dyDescent="0.25">
      <c r="A38" s="217"/>
      <c r="B38" s="206" t="s">
        <v>269</v>
      </c>
      <c r="C38" s="207" t="s">
        <v>204</v>
      </c>
      <c r="D38" s="246">
        <v>3</v>
      </c>
      <c r="E38" s="143"/>
      <c r="F38" s="144">
        <f>Sous_traitance[[#This Row],[Qté]]*Sous_traitance[[#This Row],[Prix unitaire]]</f>
        <v>0</v>
      </c>
      <c r="G38" s="145"/>
      <c r="H38" s="137">
        <f>SUM(Sous_traitance[[#This Row],[J01]:[J24]])</f>
        <v>0</v>
      </c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</row>
    <row r="39" spans="1:32" x14ac:dyDescent="0.25">
      <c r="A39" s="234"/>
      <c r="B39" s="235" t="s">
        <v>276</v>
      </c>
      <c r="C39" s="236"/>
      <c r="D39" s="250">
        <v>110</v>
      </c>
      <c r="E39" s="237"/>
      <c r="F39" s="238">
        <f>Sous_traitance[[#This Row],[Qté]]*Sous_traitance[[#This Row],[Prix unitaire]]</f>
        <v>0</v>
      </c>
      <c r="G39" s="239"/>
      <c r="H39" s="240">
        <f>SUM(Sous_traitance[[#This Row],[J01]:[J24]])</f>
        <v>0</v>
      </c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</row>
    <row r="40" spans="1:32" x14ac:dyDescent="0.25">
      <c r="A40" s="234"/>
      <c r="B40" s="249" t="s">
        <v>275</v>
      </c>
      <c r="C40" s="236" t="s">
        <v>205</v>
      </c>
      <c r="D40" s="250">
        <v>60</v>
      </c>
      <c r="E40" s="237"/>
      <c r="F40" s="238">
        <f>Sous_traitance[[#This Row],[Qté]]*Sous_traitance[[#This Row],[Prix unitaire]]</f>
        <v>0</v>
      </c>
      <c r="G40" s="239"/>
      <c r="H40" s="240">
        <f>SUM(Sous_traitance[[#This Row],[J01]:[J24]])</f>
        <v>0</v>
      </c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</row>
    <row r="41" spans="1:32" x14ac:dyDescent="0.25">
      <c r="A41" s="217"/>
      <c r="B41" s="206" t="s">
        <v>270</v>
      </c>
      <c r="C41" s="207" t="s">
        <v>204</v>
      </c>
      <c r="D41" s="246">
        <v>1</v>
      </c>
      <c r="E41" s="143"/>
      <c r="F41" s="144">
        <f>Sous_traitance[[#This Row],[Qté]]*Sous_traitance[[#This Row],[Prix unitaire]]</f>
        <v>0</v>
      </c>
      <c r="G41" s="145"/>
      <c r="H41" s="137">
        <f>SUM(Sous_traitance[[#This Row],[J01]:[J24]])</f>
        <v>0</v>
      </c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</row>
    <row r="42" spans="1:32" x14ac:dyDescent="0.25">
      <c r="A42" s="217"/>
      <c r="B42" s="206" t="s">
        <v>271</v>
      </c>
      <c r="C42" s="207" t="s">
        <v>205</v>
      </c>
      <c r="D42" s="246">
        <v>6</v>
      </c>
      <c r="E42" s="143"/>
      <c r="F42" s="144">
        <f>Sous_traitance[[#This Row],[Qté]]*Sous_traitance[[#This Row],[Prix unitaire]]</f>
        <v>0</v>
      </c>
      <c r="G42" s="145"/>
      <c r="H42" s="137">
        <f>SUM(Sous_traitance[[#This Row],[J01]:[J24]])</f>
        <v>0</v>
      </c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</row>
    <row r="43" spans="1:32" x14ac:dyDescent="0.25">
      <c r="A43" s="217"/>
      <c r="B43" s="219" t="s">
        <v>277</v>
      </c>
      <c r="C43" s="207" t="s">
        <v>266</v>
      </c>
      <c r="D43" s="248">
        <v>20</v>
      </c>
      <c r="E43" s="143"/>
      <c r="F43" s="144">
        <f>Sous_traitance[[#This Row],[Qté]]*Sous_traitance[[#This Row],[Prix unitaire]]</f>
        <v>0</v>
      </c>
      <c r="G43" s="145"/>
      <c r="H43" s="137">
        <f>SUM(Sous_traitance[[#This Row],[J01]:[J24]])</f>
        <v>0</v>
      </c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</row>
    <row r="44" spans="1:32" x14ac:dyDescent="0.25">
      <c r="A44" s="217">
        <v>34</v>
      </c>
      <c r="B44" s="211" t="s">
        <v>265</v>
      </c>
      <c r="C44" s="210" t="s">
        <v>266</v>
      </c>
      <c r="D44" s="246">
        <v>46</v>
      </c>
      <c r="E44" s="143"/>
      <c r="F44" s="144">
        <f>Sous_traitance[[#This Row],[Qté]]*Sous_traitance[[#This Row],[Prix unitaire]]</f>
        <v>0</v>
      </c>
      <c r="G44" s="145"/>
      <c r="H44" s="137">
        <f>SUM(Sous_traitance[[#This Row],[J01]:[J24]])</f>
        <v>0</v>
      </c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</row>
    <row r="45" spans="1:32" x14ac:dyDescent="0.25">
      <c r="A45" s="217"/>
      <c r="B45" s="211" t="s">
        <v>267</v>
      </c>
      <c r="C45" s="210" t="s">
        <v>266</v>
      </c>
      <c r="D45" s="218">
        <v>120</v>
      </c>
      <c r="E45" s="143"/>
      <c r="F45" s="144">
        <f>Sous_traitance[[#This Row],[Qté]]*Sous_traitance[[#This Row],[Prix unitaire]]</f>
        <v>0</v>
      </c>
      <c r="G45" s="145"/>
      <c r="H45" s="137">
        <f>SUM(Sous_traitance[[#This Row],[J01]:[J24]])</f>
        <v>0</v>
      </c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</row>
    <row r="46" spans="1:32" x14ac:dyDescent="0.25">
      <c r="A46" s="146"/>
      <c r="D46" s="168"/>
      <c r="E46" s="147"/>
      <c r="F46" s="148">
        <f>SUBTOTAL(109,Sous_traitance[Prix total])</f>
        <v>0</v>
      </c>
      <c r="H46" s="131" t="s">
        <v>106</v>
      </c>
      <c r="I46" s="149">
        <f ca="1">IFERROR(SUMPRODUCT(INDIRECT("Sous_traitance[Prix total]"),Sous_traitance[J01]),0)</f>
        <v>0</v>
      </c>
      <c r="J46" s="149">
        <f ca="1">IFERROR(SUMPRODUCT(INDIRECT("Sous_traitance[Prix total]"),Sous_traitance[J02]),0)</f>
        <v>0</v>
      </c>
      <c r="K46" s="149">
        <f ca="1">IFERROR(SUMPRODUCT(INDIRECT("Sous_traitance[Prix total]"),Sous_traitance[J03]),0)</f>
        <v>0</v>
      </c>
      <c r="L46" s="149">
        <f ca="1">IFERROR(SUMPRODUCT(INDIRECT("Sous_traitance[Prix total]"),Sous_traitance[J04]),0)</f>
        <v>0</v>
      </c>
      <c r="M46" s="149">
        <f ca="1">IFERROR(SUMPRODUCT(INDIRECT("Sous_traitance[Prix total]"),Sous_traitance[J05]),0)</f>
        <v>0</v>
      </c>
      <c r="N46" s="149">
        <f ca="1">IFERROR(SUMPRODUCT(INDIRECT("Sous_traitance[Prix total]"),Sous_traitance[J06]),0)</f>
        <v>0</v>
      </c>
      <c r="O46" s="149">
        <f ca="1">IFERROR(SUMPRODUCT(INDIRECT("Sous_traitance[Prix total]"),Sous_traitance[J07]),0)</f>
        <v>0</v>
      </c>
      <c r="P46" s="149">
        <f ca="1">IFERROR(SUMPRODUCT(INDIRECT("Sous_traitance[Prix total]"),Sous_traitance[J08]),0)</f>
        <v>0</v>
      </c>
      <c r="Q46" s="149">
        <f ca="1">IFERROR(SUMPRODUCT(INDIRECT("Sous_traitance[Prix total]"),Sous_traitance[J09]),0)</f>
        <v>0</v>
      </c>
      <c r="R46" s="149">
        <f ca="1">IFERROR(SUMPRODUCT(INDIRECT("Sous_traitance[Prix total]"),Sous_traitance[J10]),0)</f>
        <v>0</v>
      </c>
      <c r="S46" s="149">
        <f ca="1">IFERROR(SUMPRODUCT(INDIRECT("Sous_traitance[Prix total]"),Sous_traitance[J11]),0)</f>
        <v>0</v>
      </c>
      <c r="T46" s="149">
        <f ca="1">IFERROR(SUMPRODUCT(INDIRECT("Sous_traitance[Prix total]"),Sous_traitance[J12]),0)</f>
        <v>0</v>
      </c>
      <c r="U46" s="149">
        <f ca="1">IFERROR(SUMPRODUCT(INDIRECT("Sous_traitance[Prix total]"),Sous_traitance[J13]),0)</f>
        <v>0</v>
      </c>
      <c r="V46" s="149">
        <f ca="1">IFERROR(SUMPRODUCT(INDIRECT("Sous_traitance[Prix total]"),Sous_traitance[J14]),0)</f>
        <v>0</v>
      </c>
      <c r="W46" s="149">
        <f ca="1">IFERROR(SUMPRODUCT(INDIRECT("Sous_traitance[Prix total]"),Sous_traitance[J15]),0)</f>
        <v>0</v>
      </c>
      <c r="X46" s="149">
        <f ca="1">IFERROR(SUMPRODUCT(INDIRECT("Sous_traitance[Prix total]"),Sous_traitance[J16]),0)</f>
        <v>0</v>
      </c>
      <c r="Y46" s="149">
        <f ca="1">IFERROR(SUMPRODUCT(INDIRECT("Sous_traitance[Prix total]"),Sous_traitance[J17]),0)</f>
        <v>0</v>
      </c>
      <c r="Z46" s="149">
        <f ca="1">IFERROR(SUMPRODUCT(INDIRECT("Sous_traitance[Prix total]"),Sous_traitance[J18]),0)</f>
        <v>0</v>
      </c>
      <c r="AA46" s="149">
        <f ca="1">IFERROR(SUMPRODUCT(INDIRECT("Sous_traitance[Prix total]"),Sous_traitance[J19]),0)</f>
        <v>0</v>
      </c>
      <c r="AB46" s="149">
        <f ca="1">IFERROR(SUMPRODUCT(INDIRECT("Sous_traitance[Prix total]"),Sous_traitance[J20]),0)</f>
        <v>0</v>
      </c>
      <c r="AC46" s="149">
        <f ca="1">IFERROR(SUMPRODUCT(INDIRECT("Sous_traitance[Prix total]"),Sous_traitance[J21]),0)</f>
        <v>0</v>
      </c>
      <c r="AD46" s="149">
        <f ca="1">IFERROR(SUMPRODUCT(INDIRECT("Sous_traitance[Prix total]"),Sous_traitance[J22]),0)</f>
        <v>0</v>
      </c>
      <c r="AE46" s="149">
        <f ca="1">IFERROR(SUMPRODUCT(INDIRECT("Sous_traitance[Prix total]"),Sous_traitance[J23]),0)</f>
        <v>0</v>
      </c>
      <c r="AF46" s="149">
        <f ca="1">IFERROR(SUMPRODUCT(INDIRECT("Sous_traitance[Prix total]"),Sous_traitance[J24]),0)</f>
        <v>0</v>
      </c>
    </row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outlinePr summaryBelow="0" summaryRight="0"/>
  </sheetPr>
  <dimension ref="A1:AL20"/>
  <sheetViews>
    <sheetView workbookViewId="0">
      <pane xSplit="8" ySplit="2" topLeftCell="AG3" activePane="bottomRight" state="frozen"/>
      <selection activeCell="L4" sqref="L4"/>
      <selection pane="topRight" activeCell="L4" sqref="L4"/>
      <selection pane="bottomLeft" activeCell="L4" sqref="L4"/>
      <selection pane="bottomRight" activeCell="D15" sqref="D15"/>
    </sheetView>
  </sheetViews>
  <sheetFormatPr baseColWidth="10" defaultColWidth="11.5703125" defaultRowHeight="15.75" outlineLevelCol="1" x14ac:dyDescent="0.25"/>
  <cols>
    <col min="1" max="1" width="7.7109375" style="100" customWidth="1"/>
    <col min="2" max="2" width="22.28515625" style="100" customWidth="1"/>
    <col min="3" max="3" width="5.5703125" style="100" customWidth="1"/>
    <col min="4" max="4" width="10.28515625" style="100" customWidth="1"/>
    <col min="5" max="5" width="11" style="100" customWidth="1"/>
    <col min="6" max="6" width="10.28515625" style="100" customWidth="1"/>
    <col min="7" max="7" width="14.85546875" style="100" customWidth="1"/>
    <col min="8" max="8" width="26.140625" style="100" customWidth="1"/>
    <col min="9" max="9" width="12.140625" style="100" customWidth="1" outlineLevel="1"/>
    <col min="10" max="10" width="13.140625" style="100" customWidth="1" outlineLevel="1"/>
    <col min="11" max="32" width="12.140625" style="100" customWidth="1" outlineLevel="1"/>
    <col min="33" max="34" width="11.5703125" style="100"/>
    <col min="35" max="35" width="16.42578125" style="100" customWidth="1"/>
    <col min="36" max="36" width="12.85546875" style="152" bestFit="1" customWidth="1"/>
    <col min="37" max="38" width="11.7109375" style="100" bestFit="1" customWidth="1"/>
    <col min="39" max="16384" width="11.5703125" style="100"/>
  </cols>
  <sheetData>
    <row r="1" spans="1:38" s="106" customFormat="1" ht="27.75" customHeight="1" x14ac:dyDescent="0.25">
      <c r="A1" s="166" t="s">
        <v>124</v>
      </c>
      <c r="H1" s="131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J1" s="155"/>
    </row>
    <row r="2" spans="1:38" s="106" customFormat="1" ht="30.75" customHeight="1" x14ac:dyDescent="0.25">
      <c r="A2" s="153" t="s">
        <v>1</v>
      </c>
      <c r="B2" s="133" t="s">
        <v>35</v>
      </c>
      <c r="C2" s="133" t="s">
        <v>26</v>
      </c>
      <c r="D2" s="133" t="s">
        <v>64</v>
      </c>
      <c r="E2" s="154" t="s">
        <v>42</v>
      </c>
      <c r="F2" s="154" t="s">
        <v>37</v>
      </c>
      <c r="G2" s="154" t="s">
        <v>113</v>
      </c>
      <c r="H2" s="154" t="s">
        <v>33</v>
      </c>
      <c r="I2" s="151" t="s">
        <v>73</v>
      </c>
      <c r="J2" s="151" t="s">
        <v>74</v>
      </c>
      <c r="K2" s="151" t="s">
        <v>75</v>
      </c>
      <c r="L2" s="151" t="s">
        <v>76</v>
      </c>
      <c r="M2" s="151" t="s">
        <v>77</v>
      </c>
      <c r="N2" s="151" t="s">
        <v>78</v>
      </c>
      <c r="O2" s="151" t="s">
        <v>79</v>
      </c>
      <c r="P2" s="151" t="s">
        <v>80</v>
      </c>
      <c r="Q2" s="151" t="s">
        <v>81</v>
      </c>
      <c r="R2" s="151" t="s">
        <v>82</v>
      </c>
      <c r="S2" s="151" t="s">
        <v>83</v>
      </c>
      <c r="T2" s="151" t="s">
        <v>84</v>
      </c>
      <c r="U2" s="151" t="s">
        <v>85</v>
      </c>
      <c r="V2" s="151" t="s">
        <v>86</v>
      </c>
      <c r="W2" s="151" t="s">
        <v>87</v>
      </c>
      <c r="X2" s="151" t="s">
        <v>88</v>
      </c>
      <c r="Y2" s="151" t="s">
        <v>89</v>
      </c>
      <c r="Z2" s="151" t="s">
        <v>90</v>
      </c>
      <c r="AA2" s="151" t="s">
        <v>91</v>
      </c>
      <c r="AB2" s="151" t="s">
        <v>92</v>
      </c>
      <c r="AC2" s="151" t="s">
        <v>93</v>
      </c>
      <c r="AD2" s="151" t="s">
        <v>94</v>
      </c>
      <c r="AE2" s="151" t="s">
        <v>95</v>
      </c>
      <c r="AF2" s="151" t="s">
        <v>96</v>
      </c>
      <c r="AJ2" s="155"/>
    </row>
    <row r="3" spans="1:38" x14ac:dyDescent="0.25">
      <c r="A3" s="164">
        <v>1</v>
      </c>
      <c r="B3" s="141" t="s">
        <v>149</v>
      </c>
      <c r="C3" s="142" t="s">
        <v>120</v>
      </c>
      <c r="D3" s="141" t="s">
        <v>126</v>
      </c>
      <c r="E3" s="156">
        <v>120</v>
      </c>
      <c r="F3" s="143">
        <v>500</v>
      </c>
      <c r="G3" s="144">
        <f>+Consommable[[#This Row],[Prix unitaire]]*Consommable[[#This Row],[Qté par
Période]]</f>
        <v>60000</v>
      </c>
      <c r="H3" s="157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</row>
    <row r="4" spans="1:38" x14ac:dyDescent="0.25">
      <c r="A4" s="164">
        <v>2</v>
      </c>
      <c r="B4" s="141" t="s">
        <v>181</v>
      </c>
      <c r="C4" s="142" t="s">
        <v>120</v>
      </c>
      <c r="D4" s="141" t="s">
        <v>126</v>
      </c>
      <c r="E4" s="156">
        <v>120</v>
      </c>
      <c r="F4" s="143">
        <v>500</v>
      </c>
      <c r="G4" s="144">
        <f>+Consommable[[#This Row],[Prix unitaire]]*Consommable[[#This Row],[Qté par
Période]]</f>
        <v>60000</v>
      </c>
      <c r="H4" s="157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</row>
    <row r="5" spans="1:38" x14ac:dyDescent="0.25">
      <c r="A5" s="164">
        <v>3</v>
      </c>
      <c r="B5" s="141" t="s">
        <v>168</v>
      </c>
      <c r="C5" s="142" t="s">
        <v>120</v>
      </c>
      <c r="D5" s="141" t="s">
        <v>126</v>
      </c>
      <c r="E5" s="156">
        <v>120</v>
      </c>
      <c r="F5" s="143">
        <v>1000</v>
      </c>
      <c r="G5" s="144">
        <f>+Consommable[[#This Row],[Prix unitaire]]*Consommable[[#This Row],[Qté par
Période]]</f>
        <v>120000</v>
      </c>
      <c r="H5" s="157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</row>
    <row r="6" spans="1:38" x14ac:dyDescent="0.25">
      <c r="A6" s="164">
        <v>4</v>
      </c>
      <c r="B6" s="141" t="s">
        <v>169</v>
      </c>
      <c r="C6" s="142" t="s">
        <v>120</v>
      </c>
      <c r="D6" s="141" t="s">
        <v>126</v>
      </c>
      <c r="E6" s="156">
        <v>120</v>
      </c>
      <c r="F6" s="143">
        <v>4500</v>
      </c>
      <c r="G6" s="144">
        <f>+Consommable[[#This Row],[Prix unitaire]]*Consommable[[#This Row],[Qté par
Période]]</f>
        <v>540000</v>
      </c>
      <c r="H6" s="157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</row>
    <row r="7" spans="1:38" x14ac:dyDescent="0.25">
      <c r="A7" s="164">
        <v>5</v>
      </c>
      <c r="B7" s="141" t="s">
        <v>193</v>
      </c>
      <c r="C7" s="142" t="s">
        <v>120</v>
      </c>
      <c r="D7" s="141" t="s">
        <v>126</v>
      </c>
      <c r="E7" s="156">
        <v>120</v>
      </c>
      <c r="F7" s="143">
        <v>3000</v>
      </c>
      <c r="G7" s="144">
        <f>+Consommable[[#This Row],[Prix unitaire]]*Consommable[[#This Row],[Qté par
Période]]</f>
        <v>360000</v>
      </c>
      <c r="H7" s="157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</row>
    <row r="8" spans="1:38" x14ac:dyDescent="0.25">
      <c r="A8" s="164">
        <v>6</v>
      </c>
      <c r="B8" s="141" t="s">
        <v>171</v>
      </c>
      <c r="C8" s="142" t="s">
        <v>120</v>
      </c>
      <c r="D8" s="141" t="s">
        <v>126</v>
      </c>
      <c r="E8" s="156">
        <v>120</v>
      </c>
      <c r="F8" s="143">
        <v>500</v>
      </c>
      <c r="G8" s="144">
        <f>+Consommable[[#This Row],[Prix unitaire]]*Consommable[[#This Row],[Qté par
Période]]</f>
        <v>60000</v>
      </c>
      <c r="H8" s="157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</row>
    <row r="9" spans="1:38" x14ac:dyDescent="0.25">
      <c r="A9" s="164">
        <v>7</v>
      </c>
      <c r="B9" s="100" t="s">
        <v>194</v>
      </c>
      <c r="C9" s="142" t="s">
        <v>120</v>
      </c>
      <c r="D9" s="141"/>
      <c r="E9" s="156">
        <v>4</v>
      </c>
      <c r="F9" s="143">
        <v>13000</v>
      </c>
      <c r="G9" s="144">
        <f>+Consommable[[#This Row],[Prix unitaire]]*Consommable[[#This Row],[Qté par
Période]]</f>
        <v>52000</v>
      </c>
      <c r="H9" s="157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</row>
    <row r="10" spans="1:38" x14ac:dyDescent="0.25">
      <c r="A10" s="164">
        <v>8</v>
      </c>
      <c r="B10" s="141" t="s">
        <v>170</v>
      </c>
      <c r="C10" s="142" t="s">
        <v>120</v>
      </c>
      <c r="D10" s="141" t="s">
        <v>126</v>
      </c>
      <c r="E10" s="156">
        <v>30</v>
      </c>
      <c r="F10" s="143">
        <v>4167</v>
      </c>
      <c r="G10" s="144">
        <f>+Consommable[[#This Row],[Prix unitaire]]*Consommable[[#This Row],[Qté par
Période]]</f>
        <v>125010</v>
      </c>
      <c r="H10" s="157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</row>
    <row r="11" spans="1:38" x14ac:dyDescent="0.25">
      <c r="A11" s="164">
        <v>9</v>
      </c>
      <c r="B11" s="141" t="s">
        <v>268</v>
      </c>
      <c r="C11" s="142" t="s">
        <v>120</v>
      </c>
      <c r="D11" s="141" t="s">
        <v>126</v>
      </c>
      <c r="E11" s="156">
        <v>120</v>
      </c>
      <c r="F11" s="143">
        <v>4500</v>
      </c>
      <c r="G11" s="144">
        <f>+Consommable[[#This Row],[Prix unitaire]]*Consommable[[#This Row],[Qté par
Période]]</f>
        <v>540000</v>
      </c>
      <c r="H11" s="157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</row>
    <row r="12" spans="1:38" x14ac:dyDescent="0.25">
      <c r="E12" s="147"/>
      <c r="F12" s="64"/>
      <c r="G12" s="148">
        <f>SUBTOTAL(109,Consommable[Prix Total /Projet])</f>
        <v>1917010</v>
      </c>
      <c r="H12" s="64" t="s">
        <v>106</v>
      </c>
      <c r="I12" s="160">
        <f ca="1">IFERROR(SUMPRODUCT(INDIRECT("Consommable[Prix Total /Projet]"),Consommable[J01]),0)</f>
        <v>0</v>
      </c>
      <c r="J12" s="160">
        <f ca="1">IFERROR(SUMPRODUCT(INDIRECT("Consommable[Prix Total /Projet]"),Consommable[J02]),0)</f>
        <v>0</v>
      </c>
      <c r="K12" s="160">
        <f ca="1">IFERROR(SUMPRODUCT(INDIRECT("Consommable[Prix Total /Projet]"),Consommable[J03]),0)</f>
        <v>0</v>
      </c>
      <c r="L12" s="160">
        <f ca="1">IFERROR(SUMPRODUCT(INDIRECT("Consommable[Prix Total /Projet]"),Consommable[J04]),0)</f>
        <v>0</v>
      </c>
      <c r="M12" s="160">
        <f ca="1">IFERROR(SUMPRODUCT(INDIRECT("Consommable[Prix Total /Projet]"),Consommable[J05]),0)</f>
        <v>0</v>
      </c>
      <c r="N12" s="160">
        <f ca="1">IFERROR(SUMPRODUCT(INDIRECT("Consommable[Prix Total /Projet]"),Consommable[J06]),0)</f>
        <v>0</v>
      </c>
      <c r="O12" s="160">
        <f ca="1">IFERROR(SUMPRODUCT(INDIRECT("Consommable[Prix Total /Projet]"),Consommable[J07]),0)</f>
        <v>0</v>
      </c>
      <c r="P12" s="160">
        <f ca="1">IFERROR(SUMPRODUCT(INDIRECT("Consommable[Prix Total /Projet]"),Consommable[J08]),0)</f>
        <v>0</v>
      </c>
      <c r="Q12" s="160">
        <f ca="1">IFERROR(SUMPRODUCT(INDIRECT("Consommable[Prix Total /Projet]"),Consommable[J09]),0)</f>
        <v>0</v>
      </c>
      <c r="R12" s="160">
        <f ca="1">IFERROR(SUMPRODUCT(INDIRECT("Consommable[Prix Total /Projet]"),Consommable[J10]),0)</f>
        <v>0</v>
      </c>
      <c r="S12" s="160">
        <f ca="1">IFERROR(SUMPRODUCT(INDIRECT("Consommable[Prix Total /Projet]"),Consommable[J11]),0)</f>
        <v>0</v>
      </c>
      <c r="T12" s="160">
        <f ca="1">IFERROR(SUMPRODUCT(INDIRECT("Consommable[Prix Total /Projet]"),Consommable[J12]),0)</f>
        <v>0</v>
      </c>
      <c r="U12" s="160">
        <f ca="1">IFERROR(SUMPRODUCT(INDIRECT("Consommable[Prix Total /Projet]"),Consommable[J13]),0)</f>
        <v>0</v>
      </c>
      <c r="V12" s="160">
        <f ca="1">IFERROR(SUMPRODUCT(INDIRECT("Consommable[Prix Total /Projet]"),Consommable[J14]),0)</f>
        <v>0</v>
      </c>
      <c r="W12" s="160">
        <f ca="1">IFERROR(SUMPRODUCT(INDIRECT("Consommable[Prix Total /Projet]"),Consommable[J15]),0)</f>
        <v>0</v>
      </c>
      <c r="X12" s="160">
        <f ca="1">IFERROR(SUMPRODUCT(INDIRECT("Consommable[Prix Total /Projet]"),Consommable[J16]),0)</f>
        <v>0</v>
      </c>
      <c r="Y12" s="160">
        <f ca="1">IFERROR(SUMPRODUCT(INDIRECT("Consommable[Prix Total /Projet]"),Consommable[J17]),0)</f>
        <v>0</v>
      </c>
      <c r="Z12" s="160">
        <f ca="1">IFERROR(SUMPRODUCT(INDIRECT("Consommable[Prix Total /Projet]"),Consommable[J18]),0)</f>
        <v>0</v>
      </c>
      <c r="AA12" s="160">
        <f ca="1">IFERROR(SUMPRODUCT(INDIRECT("Consommable[Prix Total /Projet]"),Consommable[J19]),0)</f>
        <v>0</v>
      </c>
      <c r="AB12" s="160">
        <f ca="1">IFERROR(SUMPRODUCT(INDIRECT("Consommable[Prix Total /Projet]"),Consommable[J20]),0)</f>
        <v>0</v>
      </c>
      <c r="AC12" s="160">
        <f ca="1">IFERROR(SUMPRODUCT(INDIRECT("Consommable[Prix Total /Projet]"),Consommable[J21]),0)</f>
        <v>0</v>
      </c>
      <c r="AD12" s="160">
        <f ca="1">IFERROR(SUMPRODUCT(INDIRECT("Consommable[Prix Total /Projet]"),Consommable[J22]),0)</f>
        <v>0</v>
      </c>
      <c r="AE12" s="160">
        <f ca="1">IFERROR(SUMPRODUCT(INDIRECT("Consommable[Prix Total /Projet]"),Consommable[J23]),0)</f>
        <v>0</v>
      </c>
      <c r="AF12" s="160">
        <f ca="1">IFERROR(SUMPRODUCT(INDIRECT("Consommable[Prix Total /Projet]"),Consommable[J24]),0)</f>
        <v>0</v>
      </c>
    </row>
    <row r="16" spans="1:38" x14ac:dyDescent="0.25">
      <c r="AK16" s="100" t="s">
        <v>159</v>
      </c>
      <c r="AL16" s="100" t="s">
        <v>160</v>
      </c>
    </row>
    <row r="17" spans="35:38" x14ac:dyDescent="0.25">
      <c r="AI17" s="100" t="s">
        <v>155</v>
      </c>
      <c r="AJ17" s="152">
        <v>20000</v>
      </c>
      <c r="AK17" s="100">
        <f>+AJ17/6</f>
        <v>3333.3333333333335</v>
      </c>
      <c r="AL17" s="100">
        <f>+AK17/4</f>
        <v>833.33333333333337</v>
      </c>
    </row>
    <row r="18" spans="35:38" x14ac:dyDescent="0.25">
      <c r="AI18" s="100" t="s">
        <v>156</v>
      </c>
      <c r="AJ18" s="152">
        <v>45000</v>
      </c>
      <c r="AK18" s="100">
        <f>+AJ18/6</f>
        <v>7500</v>
      </c>
      <c r="AL18" s="100">
        <f>+AK18/4</f>
        <v>1875</v>
      </c>
    </row>
    <row r="19" spans="35:38" x14ac:dyDescent="0.25">
      <c r="AI19" s="100" t="s">
        <v>157</v>
      </c>
      <c r="AJ19" s="152">
        <v>45000</v>
      </c>
      <c r="AK19" s="100">
        <f>+AJ19/6</f>
        <v>7500</v>
      </c>
      <c r="AL19" s="100">
        <f>+AK19/4</f>
        <v>1875</v>
      </c>
    </row>
    <row r="20" spans="35:38" x14ac:dyDescent="0.25">
      <c r="AI20" s="100" t="s">
        <v>158</v>
      </c>
      <c r="AJ20" s="152">
        <v>100000</v>
      </c>
      <c r="AK20" s="100">
        <f>+AJ20/6</f>
        <v>16666.666666666668</v>
      </c>
      <c r="AL20" s="100">
        <f>+AK20/4</f>
        <v>4166.666666666667</v>
      </c>
    </row>
  </sheetData>
  <dataValidations count="1">
    <dataValidation type="list" allowBlank="1" showInputMessage="1" showErrorMessage="1" sqref="D3:D11" xr:uid="{00000000-0002-0000-0400-000000000000}">
      <formula1>"Jour,Semaine,Mois,Projet"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outlinePr summaryBelow="0" summaryRight="0"/>
  </sheetPr>
  <dimension ref="A1:AH23"/>
  <sheetViews>
    <sheetView workbookViewId="0">
      <pane xSplit="10" ySplit="2" topLeftCell="N3" activePane="bottomRight" state="frozen"/>
      <selection activeCell="L4" sqref="L4"/>
      <selection pane="topRight" activeCell="L4" sqref="L4"/>
      <selection pane="bottomLeft" activeCell="L4" sqref="L4"/>
      <selection pane="bottomRight" activeCell="I9" sqref="I9"/>
    </sheetView>
  </sheetViews>
  <sheetFormatPr baseColWidth="10" defaultColWidth="11.5703125" defaultRowHeight="15.75" outlineLevelCol="2" x14ac:dyDescent="0.25"/>
  <cols>
    <col min="1" max="1" width="5.85546875" style="100" customWidth="1"/>
    <col min="2" max="2" width="56.42578125" style="100" customWidth="1"/>
    <col min="3" max="3" width="13.42578125" style="100" customWidth="1"/>
    <col min="4" max="4" width="14.140625" style="100" customWidth="1"/>
    <col min="5" max="5" width="8.28515625" style="100" customWidth="1"/>
    <col min="6" max="6" width="12.85546875" style="161" customWidth="1"/>
    <col min="7" max="7" width="10.7109375" style="100" customWidth="1"/>
    <col min="8" max="8" width="8.7109375" style="100" customWidth="1"/>
    <col min="9" max="9" width="13.5703125" style="100" customWidth="1"/>
    <col min="10" max="10" width="14.28515625" style="100" customWidth="1"/>
    <col min="11" max="11" width="12.85546875" style="100" customWidth="1" outlineLevel="2"/>
    <col min="12" max="12" width="12.7109375" style="100" customWidth="1" outlineLevel="2"/>
    <col min="13" max="13" width="13.7109375" style="100" customWidth="1" outlineLevel="2"/>
    <col min="14" max="14" width="11.7109375" style="100" customWidth="1" outlineLevel="2"/>
    <col min="15" max="15" width="11.42578125" style="100" customWidth="1" outlineLevel="2"/>
    <col min="16" max="16" width="13.7109375" style="100" customWidth="1" outlineLevel="2"/>
    <col min="17" max="34" width="11.42578125" style="100" customWidth="1" outlineLevel="2"/>
    <col min="35" max="16384" width="11.5703125" style="100"/>
  </cols>
  <sheetData>
    <row r="1" spans="1:34" x14ac:dyDescent="0.25">
      <c r="A1" s="125" t="s">
        <v>123</v>
      </c>
      <c r="B1" s="125"/>
      <c r="J1" s="131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</row>
    <row r="2" spans="1:34" ht="31.5" x14ac:dyDescent="0.25">
      <c r="A2" s="106" t="s">
        <v>1</v>
      </c>
      <c r="B2" s="106" t="s">
        <v>35</v>
      </c>
      <c r="C2" s="106" t="s">
        <v>44</v>
      </c>
      <c r="D2" s="106" t="s">
        <v>45</v>
      </c>
      <c r="E2" s="106" t="s">
        <v>47</v>
      </c>
      <c r="F2" s="162" t="s">
        <v>46</v>
      </c>
      <c r="G2" s="163" t="s">
        <v>49</v>
      </c>
      <c r="H2" s="163" t="s">
        <v>50</v>
      </c>
      <c r="I2" s="163" t="s">
        <v>51</v>
      </c>
      <c r="J2" s="106" t="s">
        <v>48</v>
      </c>
      <c r="K2" s="134" t="s">
        <v>73</v>
      </c>
      <c r="L2" s="98" t="s">
        <v>74</v>
      </c>
      <c r="M2" s="134" t="s">
        <v>75</v>
      </c>
      <c r="N2" s="98" t="s">
        <v>76</v>
      </c>
      <c r="O2" s="134" t="s">
        <v>77</v>
      </c>
      <c r="P2" s="98" t="s">
        <v>78</v>
      </c>
      <c r="Q2" s="134" t="s">
        <v>79</v>
      </c>
      <c r="R2" s="98" t="s">
        <v>80</v>
      </c>
      <c r="S2" s="134" t="s">
        <v>81</v>
      </c>
      <c r="T2" s="98" t="s">
        <v>82</v>
      </c>
      <c r="U2" s="134" t="s">
        <v>83</v>
      </c>
      <c r="V2" s="98" t="s">
        <v>84</v>
      </c>
      <c r="W2" s="134" t="s">
        <v>85</v>
      </c>
      <c r="X2" s="98" t="s">
        <v>86</v>
      </c>
      <c r="Y2" s="134" t="s">
        <v>87</v>
      </c>
      <c r="Z2" s="98" t="s">
        <v>88</v>
      </c>
      <c r="AA2" s="134" t="s">
        <v>89</v>
      </c>
      <c r="AB2" s="98" t="s">
        <v>90</v>
      </c>
      <c r="AC2" s="134" t="s">
        <v>91</v>
      </c>
      <c r="AD2" s="98" t="s">
        <v>92</v>
      </c>
      <c r="AE2" s="134" t="s">
        <v>93</v>
      </c>
      <c r="AF2" s="98" t="s">
        <v>94</v>
      </c>
      <c r="AG2" s="134" t="s">
        <v>95</v>
      </c>
      <c r="AH2" s="98" t="s">
        <v>96</v>
      </c>
    </row>
    <row r="3" spans="1:34" x14ac:dyDescent="0.25">
      <c r="A3" s="164">
        <v>1</v>
      </c>
      <c r="B3" s="141" t="s">
        <v>100</v>
      </c>
      <c r="C3" s="141" t="s">
        <v>102</v>
      </c>
      <c r="D3" s="141" t="s">
        <v>101</v>
      </c>
      <c r="E3" s="142" t="s">
        <v>183</v>
      </c>
      <c r="F3" s="141"/>
      <c r="G3" s="143"/>
      <c r="H3" s="183">
        <v>30</v>
      </c>
      <c r="I3" s="143">
        <v>20000</v>
      </c>
      <c r="J3" s="144">
        <f>Transport_de_matériel[[#This Row],[N° de 
voyage]]*Transport_de_matériel[[#This Row],[Prix par
 voyage]]</f>
        <v>600000</v>
      </c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</row>
    <row r="4" spans="1:34" x14ac:dyDescent="0.25">
      <c r="A4" s="164">
        <v>2</v>
      </c>
      <c r="B4" s="141" t="s">
        <v>201</v>
      </c>
      <c r="C4" s="141" t="s">
        <v>200</v>
      </c>
      <c r="D4" s="141" t="s">
        <v>182</v>
      </c>
      <c r="E4" s="142" t="s">
        <v>183</v>
      </c>
      <c r="F4" s="141"/>
      <c r="G4" s="143"/>
      <c r="H4" s="184">
        <v>150</v>
      </c>
      <c r="I4" s="143">
        <v>10000</v>
      </c>
      <c r="J4" s="144">
        <f>Transport_de_matériel[[#This Row],[N° de 
voyage]]*Transport_de_matériel[[#This Row],[Prix par
 voyage]]</f>
        <v>1500000</v>
      </c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</row>
    <row r="5" spans="1:34" x14ac:dyDescent="0.25">
      <c r="A5" s="142">
        <v>3</v>
      </c>
      <c r="B5" s="141" t="s">
        <v>199</v>
      </c>
      <c r="C5" s="141" t="s">
        <v>109</v>
      </c>
      <c r="D5" s="141" t="s">
        <v>110</v>
      </c>
      <c r="E5" s="142" t="s">
        <v>183</v>
      </c>
      <c r="F5" s="141"/>
      <c r="G5" s="143"/>
      <c r="H5" s="183">
        <v>130</v>
      </c>
      <c r="I5" s="143">
        <v>10000</v>
      </c>
      <c r="J5" s="144">
        <f>Transport_de_matériel[[#This Row],[N° de 
voyage]]*Transport_de_matériel[[#This Row],[Prix par
 voyage]]</f>
        <v>1300000</v>
      </c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</row>
    <row r="6" spans="1:34" x14ac:dyDescent="0.25">
      <c r="A6" s="142">
        <v>4</v>
      </c>
      <c r="B6" s="141" t="s">
        <v>186</v>
      </c>
      <c r="C6" s="141" t="s">
        <v>187</v>
      </c>
      <c r="D6" s="141" t="s">
        <v>188</v>
      </c>
      <c r="E6" s="142" t="s">
        <v>183</v>
      </c>
      <c r="F6" s="141"/>
      <c r="G6" s="143"/>
      <c r="H6" s="184">
        <v>0</v>
      </c>
      <c r="I6" s="143">
        <v>20000</v>
      </c>
      <c r="J6" s="144">
        <f>Transport_de_matériel[[#This Row],[N° de 
voyage]]*Transport_de_matériel[[#This Row],[Prix par
 voyage]]</f>
        <v>0</v>
      </c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</row>
    <row r="7" spans="1:34" x14ac:dyDescent="0.25">
      <c r="A7" s="142">
        <v>3</v>
      </c>
      <c r="B7" s="141" t="s">
        <v>196</v>
      </c>
      <c r="C7" s="141"/>
      <c r="D7" s="141"/>
      <c r="E7" s="142"/>
      <c r="F7" s="143"/>
      <c r="G7" s="143"/>
      <c r="H7" s="183">
        <v>10</v>
      </c>
      <c r="I7" s="143">
        <v>2500</v>
      </c>
      <c r="J7" s="144">
        <f>Transport_de_matériel[[#This Row],[N° de 
voyage]]*Transport_de_matériel[[#This Row],[Prix par
 voyage]]</f>
        <v>25000</v>
      </c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</row>
    <row r="8" spans="1:34" x14ac:dyDescent="0.25">
      <c r="A8" s="142">
        <v>4</v>
      </c>
      <c r="B8" s="141" t="s">
        <v>195</v>
      </c>
      <c r="C8" s="141" t="s">
        <v>187</v>
      </c>
      <c r="D8" s="141" t="s">
        <v>188</v>
      </c>
      <c r="E8" s="142" t="s">
        <v>183</v>
      </c>
      <c r="F8" s="143"/>
      <c r="G8" s="143"/>
      <c r="H8" s="185">
        <v>300</v>
      </c>
      <c r="I8" s="143">
        <v>500</v>
      </c>
      <c r="J8" s="144">
        <f>Transport_de_matériel[[#This Row],[N° de 
voyage]]*Transport_de_matériel[[#This Row],[Prix par
 voyage]]</f>
        <v>150000</v>
      </c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</row>
    <row r="9" spans="1:34" x14ac:dyDescent="0.25">
      <c r="A9" s="142">
        <v>5</v>
      </c>
      <c r="B9" s="141" t="s">
        <v>197</v>
      </c>
      <c r="C9" s="141" t="s">
        <v>187</v>
      </c>
      <c r="D9" s="141" t="s">
        <v>188</v>
      </c>
      <c r="E9" s="142" t="s">
        <v>183</v>
      </c>
      <c r="F9" s="143"/>
      <c r="G9" s="143"/>
      <c r="H9" s="183">
        <v>0</v>
      </c>
      <c r="I9" s="143">
        <v>0</v>
      </c>
      <c r="J9" s="144">
        <f>Transport_de_matériel[[#This Row],[N° de 
voyage]]*Transport_de_matériel[[#This Row],[Prix par
 voyage]]</f>
        <v>0</v>
      </c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</row>
    <row r="10" spans="1:34" x14ac:dyDescent="0.25">
      <c r="A10" s="141"/>
      <c r="B10" s="141"/>
      <c r="C10" s="141"/>
      <c r="D10" s="141"/>
      <c r="E10" s="142"/>
      <c r="F10" s="141"/>
      <c r="G10" s="143"/>
      <c r="H10" s="184">
        <f>IFERROR(ROUNDUP(Transport_de_matériel[[#This Row],[Qté Total]]/Transport_de_matériel[[#This Row],[Qté par 
Voyage]],0),0)</f>
        <v>0</v>
      </c>
      <c r="I10" s="143"/>
      <c r="J10" s="144">
        <f>Transport_de_matériel[[#This Row],[N° de 
voyage]]*Transport_de_matériel[[#This Row],[Prix par
 voyage]]</f>
        <v>0</v>
      </c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</row>
    <row r="11" spans="1:34" x14ac:dyDescent="0.25">
      <c r="A11" s="186"/>
      <c r="B11" s="186"/>
      <c r="C11" s="186"/>
      <c r="D11" s="186"/>
      <c r="E11" s="186"/>
      <c r="F11" s="186"/>
      <c r="G11" s="186"/>
      <c r="H11" s="186"/>
      <c r="I11" s="187" t="s">
        <v>106</v>
      </c>
      <c r="J11" s="188">
        <f>SUBTOTAL(109,Transport_de_matériel[Prix Total])</f>
        <v>3575000</v>
      </c>
      <c r="K11" s="189">
        <f>SUMPRODUCT(Transport_de_matériel[Prix par
 voyage],Transport_de_matériel[J01])</f>
        <v>0</v>
      </c>
      <c r="L11" s="189">
        <f>SUMPRODUCT(Transport_de_matériel[Prix par
 voyage],Transport_de_matériel[J02])</f>
        <v>0</v>
      </c>
      <c r="M11" s="189">
        <f>SUMPRODUCT(Transport_de_matériel[Prix par
 voyage],Transport_de_matériel[J03])</f>
        <v>0</v>
      </c>
      <c r="N11" s="189">
        <f>SUMPRODUCT(Transport_de_matériel[Prix par
 voyage],Transport_de_matériel[J04])</f>
        <v>0</v>
      </c>
      <c r="O11" s="189">
        <f>SUMPRODUCT(Transport_de_matériel[Prix par
 voyage],Transport_de_matériel[J05])</f>
        <v>0</v>
      </c>
      <c r="P11" s="189">
        <f>SUMPRODUCT(Transport_de_matériel[Prix par
 voyage],Transport_de_matériel[J06])</f>
        <v>0</v>
      </c>
      <c r="Q11" s="189">
        <f>SUMPRODUCT(Transport_de_matériel[Prix par
 voyage],Transport_de_matériel[J07])</f>
        <v>0</v>
      </c>
      <c r="R11" s="189">
        <f>SUMPRODUCT(Transport_de_matériel[Prix par
 voyage],Transport_de_matériel[J08])</f>
        <v>0</v>
      </c>
      <c r="S11" s="189">
        <f>SUMPRODUCT(Transport_de_matériel[Prix par
 voyage],Transport_de_matériel[J09])</f>
        <v>0</v>
      </c>
      <c r="T11" s="189">
        <f>SUMPRODUCT(Transport_de_matériel[Prix par
 voyage],Transport_de_matériel[J10])</f>
        <v>0</v>
      </c>
      <c r="U11" s="189">
        <f>SUMPRODUCT(Transport_de_matériel[Prix par
 voyage],Transport_de_matériel[J11])</f>
        <v>0</v>
      </c>
      <c r="V11" s="189">
        <f>SUMPRODUCT(Transport_de_matériel[Prix par
 voyage],Transport_de_matériel[J12])</f>
        <v>0</v>
      </c>
      <c r="W11" s="189">
        <f>SUMPRODUCT(Transport_de_matériel[Prix par
 voyage],Transport_de_matériel[J13])</f>
        <v>0</v>
      </c>
      <c r="X11" s="189">
        <f>SUMPRODUCT(Transport_de_matériel[Prix par
 voyage],Transport_de_matériel[J14])</f>
        <v>0</v>
      </c>
      <c r="Y11" s="189">
        <f>SUMPRODUCT(Transport_de_matériel[Prix par
 voyage],Transport_de_matériel[J15])</f>
        <v>0</v>
      </c>
      <c r="Z11" s="189">
        <f>SUMPRODUCT(Transport_de_matériel[Prix par
 voyage],Transport_de_matériel[J16])</f>
        <v>0</v>
      </c>
      <c r="AA11" s="189">
        <f>SUMPRODUCT(Transport_de_matériel[Prix par
 voyage],Transport_de_matériel[J17])</f>
        <v>0</v>
      </c>
      <c r="AB11" s="189">
        <f>SUMPRODUCT(Transport_de_matériel[Prix par
 voyage],Transport_de_matériel[J18])</f>
        <v>0</v>
      </c>
      <c r="AC11" s="189">
        <f>SUMPRODUCT(Transport_de_matériel[Prix par
 voyage],Transport_de_matériel[J19])</f>
        <v>0</v>
      </c>
      <c r="AD11" s="189">
        <f>SUMPRODUCT(Transport_de_matériel[Prix par
 voyage],Transport_de_matériel[J20])</f>
        <v>0</v>
      </c>
      <c r="AE11" s="189">
        <f>SUMPRODUCT(Transport_de_matériel[Prix par
 voyage],Transport_de_matériel[J21])</f>
        <v>0</v>
      </c>
      <c r="AF11" s="189">
        <f>SUMPRODUCT(Transport_de_matériel[Prix par
 voyage],Transport_de_matériel[J22])</f>
        <v>0</v>
      </c>
      <c r="AG11" s="189">
        <f>SUMPRODUCT(Transport_de_matériel[Prix par
 voyage],Transport_de_matériel[J23])</f>
        <v>0</v>
      </c>
      <c r="AH11" s="189">
        <f>SUMPRODUCT(Transport_de_matériel[Prix par
 voyage],Transport_de_matériel[J24])</f>
        <v>0</v>
      </c>
    </row>
    <row r="16" spans="1:34" x14ac:dyDescent="0.25">
      <c r="H16" s="100" t="s">
        <v>179</v>
      </c>
      <c r="I16" s="100" t="s">
        <v>180</v>
      </c>
    </row>
    <row r="23" spans="9:9" x14ac:dyDescent="0.25">
      <c r="I23" s="165"/>
    </row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outlinePr summaryBelow="0" summaryRight="0"/>
  </sheetPr>
  <dimension ref="A1:AH18"/>
  <sheetViews>
    <sheetView zoomScaleNormal="100" workbookViewId="0">
      <pane xSplit="10" ySplit="2" topLeftCell="K3" activePane="bottomRight" state="frozen"/>
      <selection activeCell="F29" sqref="F29"/>
      <selection pane="topRight" activeCell="F29" sqref="F29"/>
      <selection pane="bottomLeft" activeCell="F29" sqref="F29"/>
      <selection pane="bottomRight" activeCell="E10" sqref="E10"/>
    </sheetView>
  </sheetViews>
  <sheetFormatPr baseColWidth="10" defaultColWidth="9.140625" defaultRowHeight="15.75" outlineLevelCol="1" x14ac:dyDescent="0.25"/>
  <cols>
    <col min="1" max="1" width="5" style="100" customWidth="1"/>
    <col min="2" max="2" width="17.28515625" style="100" customWidth="1"/>
    <col min="3" max="3" width="24.7109375" style="100" customWidth="1"/>
    <col min="4" max="4" width="10" style="100" customWidth="1"/>
    <col min="5" max="5" width="11.5703125" style="173" customWidth="1"/>
    <col min="6" max="6" width="12.7109375" style="100" customWidth="1"/>
    <col min="7" max="8" width="15.28515625" style="100" customWidth="1"/>
    <col min="9" max="9" width="13" style="100" customWidth="1"/>
    <col min="10" max="10" width="18.7109375" style="100" customWidth="1"/>
    <col min="11" max="34" width="13" style="100" customWidth="1" outlineLevel="1"/>
    <col min="35" max="16384" width="9.140625" style="100"/>
  </cols>
  <sheetData>
    <row r="1" spans="1:34" x14ac:dyDescent="0.25">
      <c r="A1" s="125" t="s">
        <v>52</v>
      </c>
      <c r="B1" s="125"/>
      <c r="J1" s="131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</row>
    <row r="2" spans="1:34" ht="47.25" x14ac:dyDescent="0.25">
      <c r="A2" s="98" t="s">
        <v>1</v>
      </c>
      <c r="B2" s="98" t="s">
        <v>119</v>
      </c>
      <c r="C2" s="98" t="s">
        <v>53</v>
      </c>
      <c r="D2" s="168" t="s">
        <v>115</v>
      </c>
      <c r="E2" s="168" t="s">
        <v>151</v>
      </c>
      <c r="F2" s="168" t="s">
        <v>118</v>
      </c>
      <c r="G2" s="98" t="s">
        <v>103</v>
      </c>
      <c r="H2" s="98" t="s">
        <v>122</v>
      </c>
      <c r="I2" s="168" t="s">
        <v>99</v>
      </c>
      <c r="J2" s="168" t="s">
        <v>33</v>
      </c>
      <c r="K2" s="98" t="s">
        <v>73</v>
      </c>
      <c r="L2" s="98" t="s">
        <v>74</v>
      </c>
      <c r="M2" s="98" t="s">
        <v>75</v>
      </c>
      <c r="N2" s="98" t="s">
        <v>76</v>
      </c>
      <c r="O2" s="98" t="s">
        <v>77</v>
      </c>
      <c r="P2" s="98" t="s">
        <v>78</v>
      </c>
      <c r="Q2" s="98" t="s">
        <v>79</v>
      </c>
      <c r="R2" s="98" t="s">
        <v>80</v>
      </c>
      <c r="S2" s="98" t="s">
        <v>81</v>
      </c>
      <c r="T2" s="98" t="s">
        <v>82</v>
      </c>
      <c r="U2" s="98" t="s">
        <v>83</v>
      </c>
      <c r="V2" s="98" t="s">
        <v>84</v>
      </c>
      <c r="W2" s="98" t="s">
        <v>85</v>
      </c>
      <c r="X2" s="98" t="s">
        <v>86</v>
      </c>
      <c r="Y2" s="98" t="s">
        <v>87</v>
      </c>
      <c r="Z2" s="98" t="s">
        <v>88</v>
      </c>
      <c r="AA2" s="98" t="s">
        <v>89</v>
      </c>
      <c r="AB2" s="98" t="s">
        <v>90</v>
      </c>
      <c r="AC2" s="98" t="s">
        <v>91</v>
      </c>
      <c r="AD2" s="98" t="s">
        <v>92</v>
      </c>
      <c r="AE2" s="98" t="s">
        <v>93</v>
      </c>
      <c r="AF2" s="98" t="s">
        <v>94</v>
      </c>
      <c r="AG2" s="98" t="s">
        <v>95</v>
      </c>
      <c r="AH2" s="98" t="s">
        <v>96</v>
      </c>
    </row>
    <row r="3" spans="1:34" s="106" customFormat="1" x14ac:dyDescent="0.25">
      <c r="A3" s="98">
        <v>1</v>
      </c>
      <c r="B3" s="169" t="s">
        <v>172</v>
      </c>
      <c r="C3" s="169" t="s">
        <v>189</v>
      </c>
      <c r="D3" s="98">
        <v>10</v>
      </c>
      <c r="E3" s="98">
        <v>1</v>
      </c>
      <c r="F3" s="98">
        <v>8</v>
      </c>
      <c r="G3" s="170">
        <v>8000</v>
      </c>
      <c r="H3" s="170">
        <f>Supervision[[#This Row],[Nombre de techn]]*Supervision[[#This Row],[Coût horaire]]</f>
        <v>8000</v>
      </c>
      <c r="I3" s="177">
        <f>+Supervision[[#This Row],[Coût horaire]]*Supervision[[#This Row],[Nombre total d''heure de travail]]*Supervision[[#This Row],[Nombre de techn]]*Supervision[[#This Row],[Nombre de jours]]</f>
        <v>640000</v>
      </c>
      <c r="J3" s="178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</row>
    <row r="4" spans="1:34" s="106" customFormat="1" x14ac:dyDescent="0.25">
      <c r="A4" s="98">
        <v>2</v>
      </c>
      <c r="B4" s="169" t="s">
        <v>172</v>
      </c>
      <c r="C4" s="169" t="s">
        <v>190</v>
      </c>
      <c r="D4" s="98">
        <v>10</v>
      </c>
      <c r="E4" s="98">
        <v>1</v>
      </c>
      <c r="F4" s="98">
        <v>8</v>
      </c>
      <c r="G4" s="170">
        <v>8000</v>
      </c>
      <c r="H4" s="170">
        <f>Supervision[[#This Row],[Nombre de techn]]*Supervision[[#This Row],[Coût horaire]]</f>
        <v>8000</v>
      </c>
      <c r="I4" s="177">
        <f>+Supervision[[#This Row],[Coût horaire]]*Supervision[[#This Row],[Nombre total d''heure de travail]]*Supervision[[#This Row],[Nombre de techn]]*Supervision[[#This Row],[Nombre de jours]]</f>
        <v>640000</v>
      </c>
      <c r="J4" s="178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</row>
    <row r="5" spans="1:34" s="106" customFormat="1" x14ac:dyDescent="0.25">
      <c r="A5" s="98">
        <v>3</v>
      </c>
      <c r="B5" s="169" t="s">
        <v>173</v>
      </c>
      <c r="C5" s="169"/>
      <c r="D5" s="98">
        <v>150</v>
      </c>
      <c r="E5" s="98">
        <v>1</v>
      </c>
      <c r="F5" s="98">
        <v>8</v>
      </c>
      <c r="G5" s="170">
        <v>8000</v>
      </c>
      <c r="H5" s="170">
        <v>8000</v>
      </c>
      <c r="I5" s="177">
        <f>+Supervision[[#This Row],[Coût horaire]]*Supervision[[#This Row],[Nombre total d''heure de travail]]*Supervision[[#This Row],[Nombre de techn]]*Supervision[[#This Row],[Nombre de jours]]</f>
        <v>9600000</v>
      </c>
      <c r="J5" s="178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</row>
    <row r="6" spans="1:34" s="106" customFormat="1" x14ac:dyDescent="0.25">
      <c r="A6" s="98">
        <v>3</v>
      </c>
      <c r="B6" s="169" t="s">
        <v>192</v>
      </c>
      <c r="C6" s="169"/>
      <c r="D6" s="98">
        <v>120</v>
      </c>
      <c r="E6" s="98">
        <v>1</v>
      </c>
      <c r="F6" s="98">
        <v>8</v>
      </c>
      <c r="G6" s="170">
        <v>1800</v>
      </c>
      <c r="H6" s="170">
        <v>1800</v>
      </c>
      <c r="I6" s="177">
        <f>+Supervision[[#This Row],[Coût horaire]]*Supervision[[#This Row],[Nombre total d''heure de travail]]*Supervision[[#This Row],[Nombre de techn]]*Supervision[[#This Row],[Nombre de jours]]</f>
        <v>1728000</v>
      </c>
      <c r="J6" s="178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</row>
    <row r="7" spans="1:34" s="106" customFormat="1" ht="21" customHeight="1" x14ac:dyDescent="0.25">
      <c r="A7" s="179">
        <v>4</v>
      </c>
      <c r="B7" s="180" t="s">
        <v>198</v>
      </c>
      <c r="C7" s="169"/>
      <c r="D7" s="98">
        <v>120</v>
      </c>
      <c r="E7" s="98">
        <v>1</v>
      </c>
      <c r="F7" s="98">
        <v>8</v>
      </c>
      <c r="G7" s="170">
        <v>1800</v>
      </c>
      <c r="H7" s="170">
        <v>1800</v>
      </c>
      <c r="I7" s="177">
        <f>+Supervision[[#This Row],[Coût horaire]]*Supervision[[#This Row],[Nombre total d''heure de travail]]*Supervision[[#This Row],[Nombre de techn]]*Supervision[[#This Row],[Nombre de jours]]</f>
        <v>1728000</v>
      </c>
      <c r="J7" s="17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</row>
    <row r="8" spans="1:34" x14ac:dyDescent="0.25">
      <c r="A8" s="159"/>
      <c r="B8" s="159"/>
      <c r="G8" s="131"/>
      <c r="H8" s="131"/>
      <c r="I8" s="182">
        <f>SUBTOTAL(109,Supervision[Coût global salarial])</f>
        <v>14336000</v>
      </c>
      <c r="J8" s="131" t="s">
        <v>117</v>
      </c>
      <c r="K8" s="160">
        <f>SUMPRODUCT(Supervision[Coût journalier],Supervision[J01])</f>
        <v>0</v>
      </c>
      <c r="L8" s="160">
        <f>SUMPRODUCT(Supervision[Coût journalier],Supervision[J01])</f>
        <v>0</v>
      </c>
      <c r="M8" s="160">
        <f>SUMPRODUCT(Supervision[Coût journalier],Supervision[J01])</f>
        <v>0</v>
      </c>
      <c r="N8" s="160">
        <f>SUMPRODUCT(Supervision[Coût journalier],Supervision[J01])</f>
        <v>0</v>
      </c>
      <c r="O8" s="160">
        <f>SUMPRODUCT(Supervision[Coût journalier],Supervision[J01])</f>
        <v>0</v>
      </c>
      <c r="P8" s="160">
        <f>SUMPRODUCT(Supervision[Coût journalier],Supervision[J01])</f>
        <v>0</v>
      </c>
      <c r="Q8" s="160">
        <f>SUMPRODUCT(Supervision[Coût journalier],Supervision[J01])</f>
        <v>0</v>
      </c>
      <c r="R8" s="160">
        <f>SUMPRODUCT(Supervision[Coût journalier],Supervision[J01])</f>
        <v>0</v>
      </c>
      <c r="S8" s="160">
        <f>SUMPRODUCT(Supervision[Coût journalier],Supervision[J01])</f>
        <v>0</v>
      </c>
      <c r="T8" s="160">
        <f>SUMPRODUCT(Supervision[Coût journalier],Supervision[J01])</f>
        <v>0</v>
      </c>
      <c r="U8" s="160">
        <f>SUMPRODUCT(Supervision[Coût journalier],Supervision[J01])</f>
        <v>0</v>
      </c>
      <c r="V8" s="160">
        <f>SUMPRODUCT(Supervision[Coût journalier],Supervision[J01])</f>
        <v>0</v>
      </c>
      <c r="W8" s="160">
        <f>SUMPRODUCT(Supervision[Coût journalier],Supervision[J01])</f>
        <v>0</v>
      </c>
      <c r="X8" s="160">
        <f>SUMPRODUCT(Supervision[Coût journalier],Supervision[J01])</f>
        <v>0</v>
      </c>
      <c r="Y8" s="160">
        <f>SUMPRODUCT(Supervision[Coût journalier],Supervision[J01])</f>
        <v>0</v>
      </c>
      <c r="Z8" s="160">
        <f>SUMPRODUCT(Supervision[Coût journalier],Supervision[J01])</f>
        <v>0</v>
      </c>
      <c r="AA8" s="160">
        <f>SUMPRODUCT(Supervision[Coût journalier],Supervision[J01])</f>
        <v>0</v>
      </c>
      <c r="AB8" s="160">
        <f>SUMPRODUCT(Supervision[Coût journalier],Supervision[J01])</f>
        <v>0</v>
      </c>
      <c r="AC8" s="160">
        <f>SUMPRODUCT(Supervision[Coût journalier],Supervision[J01])</f>
        <v>0</v>
      </c>
      <c r="AD8" s="160">
        <f>SUMPRODUCT(Supervision[Coût journalier],Supervision[J01])</f>
        <v>0</v>
      </c>
      <c r="AE8" s="160">
        <f>SUMPRODUCT(Supervision[Coût journalier],Supervision[J01])</f>
        <v>0</v>
      </c>
      <c r="AF8" s="160">
        <f>SUMPRODUCT(Supervision[Coût journalier],Supervision[J01])</f>
        <v>0</v>
      </c>
      <c r="AG8" s="160">
        <f>SUMPRODUCT(Supervision[Coût journalier],Supervision[J01])</f>
        <v>0</v>
      </c>
      <c r="AH8" s="160">
        <f>SUMPRODUCT(Supervision[Coût journalier],Supervision[J01])</f>
        <v>0</v>
      </c>
    </row>
    <row r="10" spans="1:34" ht="31.5" x14ac:dyDescent="0.25">
      <c r="L10" s="176" t="s">
        <v>174</v>
      </c>
      <c r="M10" s="176" t="s">
        <v>175</v>
      </c>
      <c r="N10" s="176" t="s">
        <v>178</v>
      </c>
    </row>
    <row r="12" spans="1:34" x14ac:dyDescent="0.25">
      <c r="E12" s="173">
        <v>1</v>
      </c>
      <c r="K12" s="100" t="s">
        <v>148</v>
      </c>
      <c r="L12" s="100">
        <v>8000</v>
      </c>
      <c r="M12" s="100">
        <v>10500</v>
      </c>
      <c r="N12" s="100">
        <v>9250</v>
      </c>
    </row>
    <row r="13" spans="1:34" x14ac:dyDescent="0.25">
      <c r="K13" s="100" t="s">
        <v>176</v>
      </c>
      <c r="L13" s="100">
        <v>8000</v>
      </c>
      <c r="M13" s="100">
        <v>10500</v>
      </c>
      <c r="N13" s="100">
        <v>9250</v>
      </c>
    </row>
    <row r="14" spans="1:34" x14ac:dyDescent="0.25">
      <c r="G14" s="100">
        <f>1800*8</f>
        <v>14400</v>
      </c>
      <c r="H14" s="100">
        <v>20000</v>
      </c>
      <c r="K14" s="100" t="s">
        <v>177</v>
      </c>
      <c r="L14" s="100">
        <v>1800</v>
      </c>
      <c r="M14" s="100">
        <v>4300</v>
      </c>
      <c r="N14" s="100">
        <v>3050</v>
      </c>
    </row>
    <row r="15" spans="1:34" x14ac:dyDescent="0.25">
      <c r="G15" s="100">
        <f>+G14+H14</f>
        <v>34400</v>
      </c>
      <c r="K15" s="100" t="s">
        <v>164</v>
      </c>
    </row>
    <row r="16" spans="1:34" x14ac:dyDescent="0.25">
      <c r="G16" s="100">
        <f>+G15/8</f>
        <v>4300</v>
      </c>
      <c r="L16" s="100" t="s">
        <v>165</v>
      </c>
    </row>
    <row r="17" spans="12:12" x14ac:dyDescent="0.25">
      <c r="L17" s="100" t="s">
        <v>167</v>
      </c>
    </row>
    <row r="18" spans="12:12" x14ac:dyDescent="0.25">
      <c r="L18" s="100" t="s">
        <v>166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outlinePr summaryBelow="0" summaryRight="0"/>
  </sheetPr>
  <dimension ref="A1:AH19"/>
  <sheetViews>
    <sheetView workbookViewId="0">
      <selection activeCell="G10" sqref="G10"/>
    </sheetView>
  </sheetViews>
  <sheetFormatPr baseColWidth="10" defaultColWidth="9.140625" defaultRowHeight="15.75" outlineLevelCol="1" x14ac:dyDescent="0.25"/>
  <cols>
    <col min="1" max="1" width="5.7109375" style="100" customWidth="1"/>
    <col min="2" max="2" width="21.7109375" style="100" customWidth="1"/>
    <col min="3" max="3" width="25.140625" style="100" customWidth="1"/>
    <col min="4" max="4" width="9.28515625" style="100" customWidth="1"/>
    <col min="5" max="5" width="12.28515625" style="100" customWidth="1"/>
    <col min="6" max="6" width="11.42578125" style="100" customWidth="1"/>
    <col min="7" max="8" width="15.7109375" style="100" customWidth="1"/>
    <col min="9" max="9" width="13.28515625" style="100" customWidth="1" outlineLevel="1"/>
    <col min="10" max="10" width="23.28515625" style="100" customWidth="1"/>
    <col min="11" max="11" width="16.5703125" style="100" hidden="1" customWidth="1" outlineLevel="1"/>
    <col min="12" max="12" width="16.42578125" style="100" hidden="1" customWidth="1" outlineLevel="1"/>
    <col min="13" max="33" width="11.5703125" style="100" hidden="1" customWidth="1" outlineLevel="1"/>
    <col min="34" max="34" width="7.5703125" style="100" customWidth="1" outlineLevel="1"/>
    <col min="35" max="35" width="11.5703125" style="100" customWidth="1"/>
    <col min="36" max="16384" width="9.140625" style="100"/>
  </cols>
  <sheetData>
    <row r="1" spans="1:34" x14ac:dyDescent="0.25">
      <c r="A1" s="125" t="s">
        <v>104</v>
      </c>
      <c r="B1" s="125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</row>
    <row r="2" spans="1:34" ht="63" x14ac:dyDescent="0.25">
      <c r="A2" s="98" t="s">
        <v>1</v>
      </c>
      <c r="B2" s="98" t="s">
        <v>119</v>
      </c>
      <c r="C2" s="98" t="s">
        <v>53</v>
      </c>
      <c r="D2" s="168" t="s">
        <v>115</v>
      </c>
      <c r="E2" s="168" t="s">
        <v>116</v>
      </c>
      <c r="F2" s="168" t="s">
        <v>150</v>
      </c>
      <c r="G2" s="98" t="s">
        <v>103</v>
      </c>
      <c r="H2" s="98" t="s">
        <v>122</v>
      </c>
      <c r="I2" s="168" t="s">
        <v>99</v>
      </c>
      <c r="J2" s="98" t="s">
        <v>33</v>
      </c>
      <c r="K2" s="134" t="s">
        <v>73</v>
      </c>
      <c r="L2" s="98" t="s">
        <v>74</v>
      </c>
      <c r="M2" s="134" t="s">
        <v>75</v>
      </c>
      <c r="N2" s="98" t="s">
        <v>76</v>
      </c>
      <c r="O2" s="134" t="s">
        <v>77</v>
      </c>
      <c r="P2" s="98" t="s">
        <v>78</v>
      </c>
      <c r="Q2" s="134" t="s">
        <v>79</v>
      </c>
      <c r="R2" s="98" t="s">
        <v>80</v>
      </c>
      <c r="S2" s="134" t="s">
        <v>81</v>
      </c>
      <c r="T2" s="98" t="s">
        <v>82</v>
      </c>
      <c r="U2" s="134" t="s">
        <v>83</v>
      </c>
      <c r="V2" s="98" t="s">
        <v>84</v>
      </c>
      <c r="W2" s="134" t="s">
        <v>85</v>
      </c>
      <c r="X2" s="98" t="s">
        <v>86</v>
      </c>
      <c r="Y2" s="134" t="s">
        <v>87</v>
      </c>
      <c r="Z2" s="98" t="s">
        <v>88</v>
      </c>
      <c r="AA2" s="134" t="s">
        <v>89</v>
      </c>
      <c r="AB2" s="98" t="s">
        <v>90</v>
      </c>
      <c r="AC2" s="134" t="s">
        <v>91</v>
      </c>
      <c r="AD2" s="98" t="s">
        <v>92</v>
      </c>
      <c r="AE2" s="134" t="s">
        <v>93</v>
      </c>
      <c r="AF2" s="98" t="s">
        <v>94</v>
      </c>
      <c r="AG2" s="134" t="s">
        <v>95</v>
      </c>
      <c r="AH2" s="98" t="s">
        <v>96</v>
      </c>
    </row>
    <row r="3" spans="1:34" s="106" customFormat="1" x14ac:dyDescent="0.25">
      <c r="A3" s="98">
        <v>1</v>
      </c>
      <c r="B3" s="169" t="s">
        <v>184</v>
      </c>
      <c r="C3" s="169" t="s">
        <v>152</v>
      </c>
      <c r="D3" s="98">
        <v>120</v>
      </c>
      <c r="E3" s="98">
        <v>8</v>
      </c>
      <c r="F3" s="98">
        <v>12</v>
      </c>
      <c r="G3" s="170">
        <v>1800</v>
      </c>
      <c r="H3" s="170"/>
      <c r="I3" s="171">
        <f>+Main_œuvre[[#This Row],[Nombre de jours]]*Main_œuvre[[#This Row],[Nombre d''heure de travail par jour]]*Main_œuvre[[#This Row],[Coût horaire]]*Main_œuvre[[#This Row],[Nombre de tech ]]</f>
        <v>20736000</v>
      </c>
      <c r="J3" s="169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</row>
    <row r="4" spans="1:34" s="106" customFormat="1" x14ac:dyDescent="0.25">
      <c r="A4" s="98"/>
      <c r="B4" s="169" t="s">
        <v>273</v>
      </c>
      <c r="C4" s="169" t="s">
        <v>185</v>
      </c>
      <c r="D4" s="98">
        <v>120</v>
      </c>
      <c r="E4" s="98">
        <v>8</v>
      </c>
      <c r="F4" s="98">
        <v>4</v>
      </c>
      <c r="G4" s="170">
        <v>1800</v>
      </c>
      <c r="H4" s="170"/>
      <c r="I4" s="171">
        <f>+Main_œuvre[[#This Row],[Nombre de jours]]*Main_œuvre[[#This Row],[Nombre d''heure de travail par jour]]*Main_œuvre[[#This Row],[Coût horaire]]*Main_œuvre[[#This Row],[Nombre de tech ]]</f>
        <v>6912000</v>
      </c>
      <c r="J4" s="169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</row>
    <row r="5" spans="1:34" x14ac:dyDescent="0.25">
      <c r="A5" s="173">
        <v>3</v>
      </c>
      <c r="B5" s="133"/>
      <c r="C5" s="133"/>
      <c r="D5" s="173"/>
      <c r="E5" s="173"/>
      <c r="F5" s="173"/>
      <c r="G5" s="174">
        <v>0</v>
      </c>
      <c r="H5" s="174">
        <f>Main_œuvre[[#This Row],[Nombre d''heure de travail par jour]]*Main_œuvre[[#This Row],[Coût horaire]]</f>
        <v>0</v>
      </c>
      <c r="I5" s="175">
        <f>Main_œuvre[[#This Row],[Nombre de tech ]]*Main_œuvre[[#This Row],[Coût horaire]]</f>
        <v>0</v>
      </c>
      <c r="J5" s="133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</row>
    <row r="6" spans="1:34" x14ac:dyDescent="0.25">
      <c r="A6" s="125"/>
      <c r="B6" s="125"/>
      <c r="G6" s="131"/>
      <c r="H6" s="131"/>
      <c r="I6" s="165">
        <f>SUBTOTAL(109,Main_œuvre[Coût global salarial])</f>
        <v>27648000</v>
      </c>
      <c r="J6" s="131" t="s">
        <v>106</v>
      </c>
      <c r="K6" s="160">
        <f>SUMPRODUCT(Main_œuvre[Coût journalier],Main_œuvre[J01])</f>
        <v>0</v>
      </c>
      <c r="L6" s="160">
        <f>SUMPRODUCT(Main_œuvre[Coût journalier],Main_œuvre[J02])</f>
        <v>0</v>
      </c>
      <c r="M6" s="160">
        <f>SUMPRODUCT(Main_œuvre[Coût journalier],Main_œuvre[J03])</f>
        <v>0</v>
      </c>
      <c r="N6" s="160">
        <f>SUMPRODUCT(Main_œuvre[Coût journalier],Main_œuvre[J04])</f>
        <v>0</v>
      </c>
      <c r="O6" s="160">
        <f>SUMPRODUCT(Main_œuvre[Coût journalier],Main_œuvre[J05])</f>
        <v>0</v>
      </c>
      <c r="P6" s="160">
        <f>SUMPRODUCT(Main_œuvre[Coût journalier],Main_œuvre[J06])</f>
        <v>0</v>
      </c>
      <c r="Q6" s="160">
        <f>SUMPRODUCT(Main_œuvre[Coût journalier],Main_œuvre[J07])</f>
        <v>0</v>
      </c>
      <c r="R6" s="160">
        <f>SUMPRODUCT(Main_œuvre[Coût journalier],Main_œuvre[J08])</f>
        <v>0</v>
      </c>
      <c r="S6" s="160">
        <f>SUMPRODUCT(Main_œuvre[Coût journalier],Main_œuvre[J09])</f>
        <v>0</v>
      </c>
      <c r="T6" s="160">
        <f>SUMPRODUCT(Main_œuvre[Coût journalier],Main_œuvre[J10])</f>
        <v>0</v>
      </c>
      <c r="U6" s="160">
        <f>SUMPRODUCT(Main_œuvre[Coût journalier],Main_œuvre[J11])</f>
        <v>0</v>
      </c>
      <c r="V6" s="160">
        <f>SUMPRODUCT(Main_œuvre[Coût journalier],Main_œuvre[J12])</f>
        <v>0</v>
      </c>
      <c r="W6" s="160">
        <f>SUMPRODUCT(Main_œuvre[Coût journalier],Main_œuvre[J13])</f>
        <v>0</v>
      </c>
      <c r="X6" s="160">
        <f>SUMPRODUCT(Main_œuvre[Coût journalier],Main_œuvre[J14])</f>
        <v>0</v>
      </c>
      <c r="Y6" s="160">
        <f>SUMPRODUCT(Main_œuvre[Coût journalier],Main_œuvre[J15])</f>
        <v>0</v>
      </c>
      <c r="Z6" s="160">
        <f>SUMPRODUCT(Main_œuvre[Coût journalier],Main_œuvre[J16])</f>
        <v>0</v>
      </c>
      <c r="AA6" s="160">
        <f>SUMPRODUCT(Main_œuvre[Coût journalier],Main_œuvre[J17])</f>
        <v>0</v>
      </c>
      <c r="AB6" s="160">
        <f>SUMPRODUCT(Main_œuvre[Coût journalier],Main_œuvre[J18])</f>
        <v>0</v>
      </c>
      <c r="AC6" s="160">
        <f>SUMPRODUCT(Main_œuvre[Coût journalier],Main_œuvre[J19])</f>
        <v>0</v>
      </c>
      <c r="AD6" s="160">
        <f>SUMPRODUCT(Main_œuvre[Coût journalier],Main_œuvre[J20])</f>
        <v>0</v>
      </c>
      <c r="AE6" s="160">
        <f>SUMPRODUCT(Main_œuvre[Coût journalier],Main_œuvre[J21])</f>
        <v>0</v>
      </c>
      <c r="AF6" s="160">
        <f>SUMPRODUCT(Main_œuvre[Coût journalier],Main_œuvre[J22])</f>
        <v>0</v>
      </c>
      <c r="AG6" s="160">
        <f>SUMPRODUCT(Main_œuvre[Coût journalier],Main_œuvre[J23])</f>
        <v>0</v>
      </c>
      <c r="AH6" s="160">
        <f>SUMPRODUCT(Main_œuvre[Coût journalier],Main_œuvre[J24])</f>
        <v>0</v>
      </c>
    </row>
    <row r="7" spans="1:34" x14ac:dyDescent="0.25">
      <c r="F7" s="100" t="s">
        <v>141</v>
      </c>
    </row>
    <row r="11" spans="1:34" x14ac:dyDescent="0.25">
      <c r="B11" s="100" t="s">
        <v>141</v>
      </c>
    </row>
    <row r="16" spans="1:34" x14ac:dyDescent="0.25">
      <c r="H16" s="100" t="s">
        <v>162</v>
      </c>
      <c r="I16" s="100" t="s">
        <v>163</v>
      </c>
    </row>
    <row r="19" spans="8:8" ht="78.75" x14ac:dyDescent="0.25">
      <c r="H19" s="176" t="s">
        <v>191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0">
    <outlinePr summaryBelow="0" summaryRight="0"/>
  </sheetPr>
  <dimension ref="A1:AB4"/>
  <sheetViews>
    <sheetView workbookViewId="0">
      <pane xSplit="4" ySplit="2" topLeftCell="E3" activePane="bottomRight" state="frozen"/>
      <selection activeCell="F29" sqref="F29"/>
      <selection pane="topRight" activeCell="F29" sqref="F29"/>
      <selection pane="bottomLeft" activeCell="F29" sqref="F29"/>
      <selection pane="bottomRight" activeCell="B1" sqref="B1:B1048576"/>
    </sheetView>
  </sheetViews>
  <sheetFormatPr baseColWidth="10" defaultRowHeight="15" outlineLevelCol="1" x14ac:dyDescent="0.25"/>
  <cols>
    <col min="1" max="1" width="6.5703125" customWidth="1"/>
    <col min="2" max="2" width="40.28515625" customWidth="1"/>
    <col min="3" max="3" width="19.140625" customWidth="1"/>
    <col min="4" max="4" width="18.5703125" customWidth="1" collapsed="1"/>
    <col min="5" max="28" width="12.5703125" hidden="1" customWidth="1" outlineLevel="1"/>
  </cols>
  <sheetData>
    <row r="1" spans="1:28" ht="26.25" x14ac:dyDescent="0.4">
      <c r="A1" s="18" t="s">
        <v>55</v>
      </c>
      <c r="D1" s="25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x14ac:dyDescent="0.25">
      <c r="A2" s="33" t="s">
        <v>1</v>
      </c>
      <c r="B2" s="33" t="s">
        <v>35</v>
      </c>
      <c r="C2" s="33" t="s">
        <v>56</v>
      </c>
      <c r="D2" s="33" t="s">
        <v>33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20</v>
      </c>
      <c r="W2" s="4" t="s">
        <v>27</v>
      </c>
      <c r="X2" s="4" t="s">
        <v>28</v>
      </c>
      <c r="Y2" s="4" t="s">
        <v>29</v>
      </c>
      <c r="Z2" s="4" t="s">
        <v>30</v>
      </c>
      <c r="AA2" s="4" t="s">
        <v>31</v>
      </c>
      <c r="AB2" s="4" t="s">
        <v>32</v>
      </c>
    </row>
    <row r="3" spans="1:28" x14ac:dyDescent="0.25">
      <c r="A3" s="35"/>
      <c r="B3" s="35"/>
      <c r="C3" s="37"/>
      <c r="D3" s="48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28" x14ac:dyDescent="0.25">
      <c r="A4" s="49"/>
      <c r="C4" s="31"/>
      <c r="D4" s="25" t="s">
        <v>43</v>
      </c>
      <c r="E4" s="40">
        <f ca="1">IFERROR(SUMPRODUCT(INDIRECT("Prestation[Montant par mois]"),Prestation[M01]),0)</f>
        <v>0</v>
      </c>
      <c r="F4" s="40">
        <f ca="1">IFERROR(SUMPRODUCT(INDIRECT("Prestation[Montant par mois]"),Prestation[M02]),0)</f>
        <v>0</v>
      </c>
      <c r="G4" s="40">
        <f ca="1">IFERROR(SUMPRODUCT(INDIRECT("Prestation[Montant par mois]"),Prestation[M03]),0)</f>
        <v>0</v>
      </c>
      <c r="H4" s="40">
        <f ca="1">IFERROR(SUMPRODUCT(INDIRECT("Prestation[Montant par mois]"),Prestation[M04]),0)</f>
        <v>0</v>
      </c>
      <c r="I4" s="40">
        <f ca="1">IFERROR(SUMPRODUCT(INDIRECT("Prestation[Montant par mois]"),Prestation[M05]),0)</f>
        <v>0</v>
      </c>
      <c r="J4" s="40">
        <f ca="1">IFERROR(SUMPRODUCT(INDIRECT("Prestation[Montant par mois]"),Prestation[M06]),0)</f>
        <v>0</v>
      </c>
      <c r="K4" s="40">
        <f ca="1">IFERROR(SUMPRODUCT(INDIRECT("Prestation[Montant par mois]"),Prestation[M07]),0)</f>
        <v>0</v>
      </c>
      <c r="L4" s="40">
        <f ca="1">IFERROR(SUMPRODUCT(INDIRECT("Prestation[Montant par mois]"),Prestation[M08]),0)</f>
        <v>0</v>
      </c>
      <c r="M4" s="40">
        <f ca="1">IFERROR(SUMPRODUCT(INDIRECT("Prestation[Montant par mois]"),Prestation[M09]),0)</f>
        <v>0</v>
      </c>
      <c r="N4" s="40">
        <f ca="1">IFERROR(SUMPRODUCT(INDIRECT("Prestation[Montant par mois]"),Prestation[M10]),0)</f>
        <v>0</v>
      </c>
      <c r="O4" s="40">
        <f ca="1">IFERROR(SUMPRODUCT(INDIRECT("Prestation[Montant par mois]"),Prestation[M11]),0)</f>
        <v>0</v>
      </c>
      <c r="P4" s="40">
        <f ca="1">IFERROR(SUMPRODUCT(INDIRECT("Prestation[Montant par mois]"),Prestation[M12]),0)</f>
        <v>0</v>
      </c>
      <c r="Q4" s="40">
        <f ca="1">IFERROR(SUMPRODUCT(INDIRECT("Prestation[Montant par mois]"),Prestation[M13]),0)</f>
        <v>0</v>
      </c>
      <c r="R4" s="40">
        <f ca="1">IFERROR(SUMPRODUCT(INDIRECT("Prestation[Montant par mois]"),Prestation[M14]),0)</f>
        <v>0</v>
      </c>
      <c r="S4" s="40">
        <f ca="1">IFERROR(SUMPRODUCT(INDIRECT("Prestation[Montant par mois]"),Prestation[M15]),0)</f>
        <v>0</v>
      </c>
      <c r="T4" s="40">
        <f ca="1">IFERROR(SUMPRODUCT(INDIRECT("Prestation[Montant par mois]"),Prestation[M16]),0)</f>
        <v>0</v>
      </c>
      <c r="U4" s="40">
        <f ca="1">IFERROR(SUMPRODUCT(INDIRECT("Prestation[Montant par mois]"),Prestation[M17]),0)</f>
        <v>0</v>
      </c>
      <c r="V4" s="40">
        <f ca="1">IFERROR(SUMPRODUCT(INDIRECT("Prestation[Montant par mois]"),Prestation[M18]),0)</f>
        <v>0</v>
      </c>
      <c r="W4" s="40">
        <f ca="1">IFERROR(SUMPRODUCT(INDIRECT("Prestation[Montant par mois]"),Prestation[M19]),0)</f>
        <v>0</v>
      </c>
      <c r="X4" s="40">
        <f ca="1">IFERROR(SUMPRODUCT(INDIRECT("Prestation[Montant par mois]"),Prestation[M20]),0)</f>
        <v>0</v>
      </c>
      <c r="Y4" s="40">
        <f ca="1">IFERROR(SUMPRODUCT(INDIRECT("Prestation[Montant par mois]"),Prestation[M21]),0)</f>
        <v>0</v>
      </c>
      <c r="Z4" s="40">
        <f ca="1">IFERROR(SUMPRODUCT(INDIRECT("Prestation[Montant par mois]"),Prestation[M22]),0)</f>
        <v>0</v>
      </c>
      <c r="AA4" s="40">
        <f ca="1">IFERROR(SUMPRODUCT(INDIRECT("Prestation[Montant par mois]"),Prestation[M23]),0)</f>
        <v>0</v>
      </c>
      <c r="AB4" s="40">
        <f ca="1">IFERROR(SUMPRODUCT(INDIRECT("Prestation[Montant par mois]"),Prestation[M24]),0)</f>
        <v>0</v>
      </c>
    </row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1">
    <outlinePr summaryBelow="0" summaryRight="0"/>
  </sheetPr>
  <dimension ref="A1:AC4"/>
  <sheetViews>
    <sheetView workbookViewId="0">
      <pane xSplit="5" ySplit="2" topLeftCell="F3" activePane="bottomRight" state="frozen"/>
      <selection activeCell="F29" sqref="F29"/>
      <selection pane="topRight" activeCell="F29" sqref="F29"/>
      <selection pane="bottomLeft" activeCell="F29" sqref="F29"/>
      <selection pane="bottomRight" activeCell="B1" sqref="B1:B1048576"/>
    </sheetView>
  </sheetViews>
  <sheetFormatPr baseColWidth="10" defaultRowHeight="15" outlineLevelCol="1" x14ac:dyDescent="0.25"/>
  <cols>
    <col min="1" max="1" width="6.5703125" customWidth="1"/>
    <col min="2" max="2" width="29.7109375" customWidth="1"/>
    <col min="3" max="3" width="17.42578125" customWidth="1"/>
    <col min="4" max="4" width="19.140625" customWidth="1"/>
    <col min="5" max="5" width="18.5703125" customWidth="1"/>
    <col min="6" max="29" width="12.5703125" customWidth="1" outlineLevel="1"/>
  </cols>
  <sheetData>
    <row r="1" spans="1:29" ht="26.25" x14ac:dyDescent="0.4">
      <c r="A1" s="18" t="s">
        <v>57</v>
      </c>
      <c r="E1" s="25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ht="30" x14ac:dyDescent="0.25">
      <c r="A2" s="33" t="s">
        <v>1</v>
      </c>
      <c r="B2" s="33" t="s">
        <v>35</v>
      </c>
      <c r="C2" s="33" t="s">
        <v>36</v>
      </c>
      <c r="D2" s="41" t="s">
        <v>68</v>
      </c>
      <c r="E2" s="33" t="s">
        <v>33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19</v>
      </c>
      <c r="W2" s="4" t="s">
        <v>20</v>
      </c>
      <c r="X2" s="4" t="s">
        <v>27</v>
      </c>
      <c r="Y2" s="4" t="s">
        <v>28</v>
      </c>
      <c r="Z2" s="4" t="s">
        <v>29</v>
      </c>
      <c r="AA2" s="4" t="s">
        <v>30</v>
      </c>
      <c r="AB2" s="4" t="s">
        <v>31</v>
      </c>
      <c r="AC2" s="4" t="s">
        <v>32</v>
      </c>
    </row>
    <row r="3" spans="1:29" x14ac:dyDescent="0.25">
      <c r="A3" s="35"/>
      <c r="B3" s="35"/>
      <c r="C3" s="37"/>
      <c r="D3" s="37"/>
      <c r="E3" s="48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</row>
    <row r="4" spans="1:29" x14ac:dyDescent="0.25">
      <c r="A4" s="49"/>
      <c r="D4" s="31"/>
      <c r="E4" s="25" t="s">
        <v>43</v>
      </c>
      <c r="F4" s="40">
        <f ca="1">IFERROR(SUMPRODUCT(INDIRECT("Location[Qté]"),INDIRECT("Location[Montant unitaire
 par Jour]"),Location[M01]),0)</f>
        <v>0</v>
      </c>
      <c r="G4" s="40">
        <f ca="1">IFERROR(SUMPRODUCT(INDIRECT("Location[Qté]"),INDIRECT("Location[Montant unitaire
 par Jour]"),Location[M02]),0)</f>
        <v>0</v>
      </c>
      <c r="H4" s="40">
        <f ca="1">IFERROR(SUMPRODUCT(INDIRECT("Location[Qté]"),INDIRECT("Location[Montant unitaire
 par Jour]"),Location[M03]),0)</f>
        <v>0</v>
      </c>
      <c r="I4" s="40">
        <f ca="1">IFERROR(SUMPRODUCT(INDIRECT("Location[Qté]"),INDIRECT("Location[Montant unitaire
 par Jour]"),Location[M04]),0)</f>
        <v>0</v>
      </c>
      <c r="J4" s="40">
        <f ca="1">IFERROR(SUMPRODUCT(INDIRECT("Location[Qté]"),INDIRECT("Location[Montant unitaire
 par Jour]"),Location[M05]),0)</f>
        <v>0</v>
      </c>
      <c r="K4" s="40">
        <f ca="1">IFERROR(SUMPRODUCT(INDIRECT("Location[Qté]"),INDIRECT("Location[Montant unitaire
 par Jour]"),Location[M06]),0)</f>
        <v>0</v>
      </c>
      <c r="L4" s="40">
        <f ca="1">IFERROR(SUMPRODUCT(INDIRECT("Location[Qté]"),INDIRECT("Location[Montant unitaire
 par Jour]"),Location[M07]),0)</f>
        <v>0</v>
      </c>
      <c r="M4" s="40">
        <f ca="1">IFERROR(SUMPRODUCT(INDIRECT("Location[Qté]"),INDIRECT("Location[Montant unitaire
 par Jour]"),Location[M08]),0)</f>
        <v>0</v>
      </c>
      <c r="N4" s="40">
        <f ca="1">IFERROR(SUMPRODUCT(INDIRECT("Location[Qté]"),INDIRECT("Location[Montant unitaire
 par Jour]"),Location[M09]),0)</f>
        <v>0</v>
      </c>
      <c r="O4" s="40">
        <f ca="1">IFERROR(SUMPRODUCT(INDIRECT("Location[Qté]"),INDIRECT("Location[Montant unitaire
 par Jour]"),Location[M10]),0)</f>
        <v>0</v>
      </c>
      <c r="P4" s="40">
        <f ca="1">IFERROR(SUMPRODUCT(INDIRECT("Location[Qté]"),INDIRECT("Location[Montant unitaire
 par Jour]"),Location[M11]),0)</f>
        <v>0</v>
      </c>
      <c r="Q4" s="40">
        <f ca="1">IFERROR(SUMPRODUCT(INDIRECT("Location[Qté]"),INDIRECT("Location[Montant unitaire
 par Jour]"),Location[M12]),0)</f>
        <v>0</v>
      </c>
      <c r="R4" s="40">
        <f ca="1">IFERROR(SUMPRODUCT(INDIRECT("Location[Qté]"),INDIRECT("Location[Montant unitaire
 par Jour]"),Location[M13]),0)</f>
        <v>0</v>
      </c>
      <c r="S4" s="40">
        <f ca="1">IFERROR(SUMPRODUCT(INDIRECT("Location[Qté]"),INDIRECT("Location[Montant unitaire
 par Jour]"),Location[M14]),0)</f>
        <v>0</v>
      </c>
      <c r="T4" s="40">
        <f ca="1">IFERROR(SUMPRODUCT(INDIRECT("Location[Qté]"),INDIRECT("Location[Montant unitaire
 par Jour]"),Location[M15]),0)</f>
        <v>0</v>
      </c>
      <c r="U4" s="40">
        <f ca="1">IFERROR(SUMPRODUCT(INDIRECT("Location[Qté]"),INDIRECT("Location[Montant unitaire
 par Jour]"),Location[M16]),0)</f>
        <v>0</v>
      </c>
      <c r="V4" s="40">
        <f ca="1">IFERROR(SUMPRODUCT(INDIRECT("Location[Qté]"),INDIRECT("Location[Montant unitaire
 par Jour]"),Location[M17]),0)</f>
        <v>0</v>
      </c>
      <c r="W4" s="40">
        <f ca="1">IFERROR(SUMPRODUCT(INDIRECT("Location[Qté]"),INDIRECT("Location[Montant unitaire
 par Jour]"),Location[M18]),0)</f>
        <v>0</v>
      </c>
      <c r="X4" s="40">
        <f ca="1">IFERROR(SUMPRODUCT(INDIRECT("Location[Qté]"),INDIRECT("Location[Montant unitaire
 par Jour]"),Location[M19]),0)</f>
        <v>0</v>
      </c>
      <c r="Y4" s="40">
        <f ca="1">IFERROR(SUMPRODUCT(INDIRECT("Location[Qté]"),INDIRECT("Location[Montant unitaire
 par Jour]"),Location[M20]),0)</f>
        <v>0</v>
      </c>
      <c r="Z4" s="40">
        <f ca="1">IFERROR(SUMPRODUCT(INDIRECT("Location[Qté]"),INDIRECT("Location[Montant unitaire
 par Jour]"),Location[M21]),0)</f>
        <v>0</v>
      </c>
      <c r="AA4" s="40">
        <f ca="1">IFERROR(SUMPRODUCT(INDIRECT("Location[Qté]"),INDIRECT("Location[Montant unitaire
 par Jour]"),Location[M22]),0)</f>
        <v>0</v>
      </c>
      <c r="AB4" s="40">
        <f ca="1">IFERROR(SUMPRODUCT(INDIRECT("Location[Qté]"),INDIRECT("Location[Montant unitaire
 par Jour]"),Location[M23]),0)</f>
        <v>0</v>
      </c>
      <c r="AC4" s="40">
        <f ca="1">IFERROR(SUMPRODUCT(INDIRECT("Location[Qté]"),INDIRECT("Location[Montant unitaire
 par Jour]"),Location[M24]),0)</f>
        <v>0</v>
      </c>
    </row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2">
    <outlinePr summaryBelow="0" summaryRight="0"/>
  </sheetPr>
  <dimension ref="A1:AC6"/>
  <sheetViews>
    <sheetView workbookViewId="0">
      <pane xSplit="5" ySplit="2" topLeftCell="F3" activePane="bottomRight" state="frozen"/>
      <selection activeCell="F29" sqref="F29"/>
      <selection pane="topRight" activeCell="F29" sqref="F29"/>
      <selection pane="bottomLeft" activeCell="F29" sqref="F29"/>
      <selection pane="bottomRight" activeCell="E4" sqref="E3:E4"/>
    </sheetView>
  </sheetViews>
  <sheetFormatPr baseColWidth="10" defaultRowHeight="15" outlineLevelCol="1" x14ac:dyDescent="0.25"/>
  <cols>
    <col min="1" max="1" width="6.7109375" customWidth="1"/>
    <col min="2" max="2" width="22.28515625" customWidth="1"/>
    <col min="3" max="3" width="8.28515625" customWidth="1"/>
    <col min="4" max="4" width="14.28515625" customWidth="1"/>
    <col min="5" max="5" width="20.140625" customWidth="1"/>
    <col min="6" max="6" width="15.28515625" customWidth="1" outlineLevel="1"/>
    <col min="7" max="7" width="12.7109375" customWidth="1" outlineLevel="1"/>
    <col min="8" max="10" width="10.5703125" customWidth="1" outlineLevel="1"/>
    <col min="11" max="23" width="9.42578125" customWidth="1" outlineLevel="1"/>
    <col min="24" max="29" width="11.42578125" customWidth="1" outlineLevel="1"/>
  </cols>
  <sheetData>
    <row r="1" spans="1:29" ht="26.25" x14ac:dyDescent="0.4">
      <c r="A1" s="18" t="s">
        <v>70</v>
      </c>
      <c r="E1" s="25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x14ac:dyDescent="0.25">
      <c r="A2" s="33" t="s">
        <v>1</v>
      </c>
      <c r="B2" s="33" t="s">
        <v>35</v>
      </c>
      <c r="C2" s="33" t="s">
        <v>47</v>
      </c>
      <c r="D2" s="33" t="s">
        <v>34</v>
      </c>
      <c r="E2" s="33" t="s">
        <v>33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6" t="s">
        <v>14</v>
      </c>
      <c r="R2" s="6" t="s">
        <v>15</v>
      </c>
      <c r="S2" s="6" t="s">
        <v>16</v>
      </c>
      <c r="T2" s="6" t="s">
        <v>17</v>
      </c>
      <c r="U2" s="6" t="s">
        <v>18</v>
      </c>
      <c r="V2" s="6" t="s">
        <v>19</v>
      </c>
      <c r="W2" s="7" t="s">
        <v>20</v>
      </c>
      <c r="X2" s="11" t="s">
        <v>27</v>
      </c>
      <c r="Y2" s="11" t="s">
        <v>28</v>
      </c>
      <c r="Z2" s="11" t="s">
        <v>29</v>
      </c>
      <c r="AA2" s="11" t="s">
        <v>30</v>
      </c>
      <c r="AB2" s="11" t="s">
        <v>31</v>
      </c>
      <c r="AC2" s="11" t="s">
        <v>32</v>
      </c>
    </row>
    <row r="3" spans="1:29" x14ac:dyDescent="0.25">
      <c r="A3" s="46"/>
      <c r="B3" s="35"/>
      <c r="C3" s="36"/>
      <c r="D3" s="37"/>
      <c r="E3" s="48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</row>
    <row r="4" spans="1:29" x14ac:dyDescent="0.25">
      <c r="A4" s="46"/>
      <c r="B4" s="35"/>
      <c r="C4" s="36"/>
      <c r="D4" s="37"/>
      <c r="E4" s="48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</row>
    <row r="5" spans="1:29" x14ac:dyDescent="0.25">
      <c r="A5" s="46"/>
      <c r="B5" s="35"/>
      <c r="C5" s="36"/>
      <c r="D5" s="37"/>
      <c r="E5" s="48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</row>
    <row r="6" spans="1:29" x14ac:dyDescent="0.25">
      <c r="A6" s="3"/>
      <c r="E6" s="54" t="s">
        <v>43</v>
      </c>
      <c r="F6" s="56">
        <f ca="1">IFERROR(SUMPRODUCT(INDIRECT("Frais_de_déplacement[Montant]"),Frais_de_déplacement[M01]),0)</f>
        <v>0</v>
      </c>
      <c r="G6" s="56">
        <f ca="1">IFERROR(SUMPRODUCT(INDIRECT("Frais_de_déplacement[Montant]"),Frais_de_déplacement[M02]),0)</f>
        <v>0</v>
      </c>
      <c r="H6" s="56">
        <f ca="1">IFERROR(SUMPRODUCT(INDIRECT("Frais_de_déplacement[Montant]"),Frais_de_déplacement[M03]),0)</f>
        <v>0</v>
      </c>
      <c r="I6" s="56">
        <f ca="1">IFERROR(SUMPRODUCT(INDIRECT("Frais_de_déplacement[Montant]"),Frais_de_déplacement[M04]),0)</f>
        <v>0</v>
      </c>
      <c r="J6" s="56">
        <f ca="1">IFERROR(SUMPRODUCT(INDIRECT("Frais_de_déplacement[Montant]"),Frais_de_déplacement[M05]),0)</f>
        <v>0</v>
      </c>
      <c r="K6" s="56">
        <f ca="1">IFERROR(SUMPRODUCT(INDIRECT("Frais_de_déplacement[Montant]"),Frais_de_déplacement[M06]),0)</f>
        <v>0</v>
      </c>
      <c r="L6" s="56">
        <f ca="1">IFERROR(SUMPRODUCT(INDIRECT("Frais_de_déplacement[Montant]"),Frais_de_déplacement[M07]),0)</f>
        <v>0</v>
      </c>
      <c r="M6" s="56">
        <f ca="1">IFERROR(SUMPRODUCT(INDIRECT("Frais_de_déplacement[Montant]"),Frais_de_déplacement[M08]),0)</f>
        <v>0</v>
      </c>
      <c r="N6" s="56">
        <f ca="1">IFERROR(SUMPRODUCT(INDIRECT("Frais_de_déplacement[Montant]"),Frais_de_déplacement[M09]),0)</f>
        <v>0</v>
      </c>
      <c r="O6" s="56">
        <f ca="1">IFERROR(SUMPRODUCT(INDIRECT("Frais_de_déplacement[Montant]"),Frais_de_déplacement[M10]),0)</f>
        <v>0</v>
      </c>
      <c r="P6" s="56">
        <f ca="1">IFERROR(SUMPRODUCT(INDIRECT("Frais_de_déplacement[Montant]"),Frais_de_déplacement[M11]),0)</f>
        <v>0</v>
      </c>
      <c r="Q6" s="56">
        <f ca="1">IFERROR(SUMPRODUCT(INDIRECT("Frais_de_déplacement[Montant]"),Frais_de_déplacement[M12]),0)</f>
        <v>0</v>
      </c>
      <c r="R6" s="56">
        <f ca="1">IFERROR(SUMPRODUCT(INDIRECT("Frais_de_déplacement[Montant]"),Frais_de_déplacement[M13]),0)</f>
        <v>0</v>
      </c>
      <c r="S6" s="56">
        <f ca="1">IFERROR(SUMPRODUCT(INDIRECT("Frais_de_déplacement[Montant]"),Frais_de_déplacement[M14]),0)</f>
        <v>0</v>
      </c>
      <c r="T6" s="56">
        <f ca="1">IFERROR(SUMPRODUCT(INDIRECT("Frais_de_déplacement[Montant]"),Frais_de_déplacement[M15]),0)</f>
        <v>0</v>
      </c>
      <c r="U6" s="56">
        <f ca="1">IFERROR(SUMPRODUCT(INDIRECT("Frais_de_déplacement[Montant]"),Frais_de_déplacement[M16]),0)</f>
        <v>0</v>
      </c>
      <c r="V6" s="56">
        <f ca="1">IFERROR(SUMPRODUCT(INDIRECT("Frais_de_déplacement[Montant]"),Frais_de_déplacement[M17]),0)</f>
        <v>0</v>
      </c>
      <c r="W6" s="56">
        <f ca="1">IFERROR(SUMPRODUCT(INDIRECT("Frais_de_déplacement[Montant]"),Frais_de_déplacement[M18]),0)</f>
        <v>0</v>
      </c>
      <c r="X6" s="56">
        <f ca="1">IFERROR(SUMPRODUCT(INDIRECT("Frais_de_déplacement[Montant]"),Frais_de_déplacement[M19]),0)</f>
        <v>0</v>
      </c>
      <c r="Y6" s="56">
        <f ca="1">IFERROR(SUMPRODUCT(INDIRECT("Frais_de_déplacement[Montant]"),Frais_de_déplacement[M20]),0)</f>
        <v>0</v>
      </c>
      <c r="Z6" s="56">
        <f ca="1">IFERROR(SUMPRODUCT(INDIRECT("Frais_de_déplacement[Montant]"),Frais_de_déplacement[M21]),0)</f>
        <v>0</v>
      </c>
      <c r="AA6" s="56">
        <f ca="1">IFERROR(SUMPRODUCT(INDIRECT("Frais_de_déplacement[Montant]"),Frais_de_déplacement[M22]),0)</f>
        <v>0</v>
      </c>
      <c r="AB6" s="56">
        <f ca="1">IFERROR(SUMPRODUCT(INDIRECT("Frais_de_déplacement[Montant]"),Frais_de_déplacement[M23]),0)</f>
        <v>0</v>
      </c>
      <c r="AC6" s="56">
        <f ca="1">IFERROR(SUMPRODUCT(INDIRECT("Frais_de_déplacement[Montant]"),Frais_de_déplacement[M24]),0)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3">
    <outlinePr summaryBelow="0" summaryRight="0"/>
  </sheetPr>
  <dimension ref="A1:AB4"/>
  <sheetViews>
    <sheetView workbookViewId="0">
      <pane xSplit="4" ySplit="2" topLeftCell="E3" activePane="bottomRight" state="frozen"/>
      <selection activeCell="F29" sqref="F29"/>
      <selection pane="topRight" activeCell="F29" sqref="F29"/>
      <selection pane="bottomLeft" activeCell="F29" sqref="F29"/>
      <selection pane="bottomRight" activeCell="AD17" sqref="AD17"/>
    </sheetView>
  </sheetViews>
  <sheetFormatPr baseColWidth="10" defaultRowHeight="15" outlineLevelCol="1" x14ac:dyDescent="0.25"/>
  <cols>
    <col min="1" max="1" width="5.42578125" customWidth="1"/>
    <col min="2" max="2" width="25.28515625" customWidth="1"/>
    <col min="3" max="3" width="19.140625" customWidth="1"/>
    <col min="4" max="4" width="17" customWidth="1" collapsed="1"/>
    <col min="5" max="28" width="13.28515625" hidden="1" customWidth="1" outlineLevel="1"/>
  </cols>
  <sheetData>
    <row r="1" spans="1:28" ht="26.25" x14ac:dyDescent="0.4">
      <c r="A1" s="18" t="s">
        <v>58</v>
      </c>
      <c r="D1" s="25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x14ac:dyDescent="0.25">
      <c r="A2" s="33" t="s">
        <v>1</v>
      </c>
      <c r="B2" s="33" t="s">
        <v>35</v>
      </c>
      <c r="C2" s="33" t="s">
        <v>56</v>
      </c>
      <c r="D2" s="33" t="s">
        <v>33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7" t="s">
        <v>20</v>
      </c>
      <c r="W2" s="11" t="s">
        <v>27</v>
      </c>
      <c r="X2" s="11" t="s">
        <v>28</v>
      </c>
      <c r="Y2" s="11" t="s">
        <v>29</v>
      </c>
      <c r="Z2" s="11" t="s">
        <v>30</v>
      </c>
      <c r="AA2" s="11" t="s">
        <v>31</v>
      </c>
      <c r="AB2" s="11" t="s">
        <v>32</v>
      </c>
    </row>
    <row r="3" spans="1:28" x14ac:dyDescent="0.25">
      <c r="A3" s="46"/>
      <c r="B3" s="35"/>
      <c r="C3" s="37"/>
      <c r="D3" s="47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 x14ac:dyDescent="0.25">
      <c r="A4" s="3"/>
      <c r="C4" s="31"/>
      <c r="D4" s="25" t="s">
        <v>43</v>
      </c>
      <c r="E4" s="50">
        <f ca="1">IFERROR(SUMPRODUCT(INDIRECT("Hébergement[Montant par mois]"),Hébergement[M01]),0)</f>
        <v>0</v>
      </c>
      <c r="F4" s="50">
        <f ca="1">IFERROR(SUMPRODUCT(INDIRECT("Hébergement[Montant par mois]"),Hébergement[M02]),0)</f>
        <v>0</v>
      </c>
      <c r="G4" s="50">
        <f ca="1">IFERROR(SUMPRODUCT(INDIRECT("Hébergement[Montant par mois]"),Hébergement[M03]),0)</f>
        <v>0</v>
      </c>
      <c r="H4" s="50">
        <f ca="1">IFERROR(SUMPRODUCT(INDIRECT("Hébergement[Montant par mois]"),Hébergement[M04]),0)</f>
        <v>0</v>
      </c>
      <c r="I4" s="50">
        <f ca="1">IFERROR(SUMPRODUCT(INDIRECT("Hébergement[Montant par mois]"),Hébergement[M05]),0)</f>
        <v>0</v>
      </c>
      <c r="J4" s="50">
        <f ca="1">IFERROR(SUMPRODUCT(INDIRECT("Hébergement[Montant par mois]"),Hébergement[M06]),0)</f>
        <v>0</v>
      </c>
      <c r="K4" s="50">
        <f ca="1">IFERROR(SUMPRODUCT(INDIRECT("Hébergement[Montant par mois]"),Hébergement[M07]),0)</f>
        <v>0</v>
      </c>
      <c r="L4" s="50">
        <f ca="1">IFERROR(SUMPRODUCT(INDIRECT("Hébergement[Montant par mois]"),Hébergement[M08]),0)</f>
        <v>0</v>
      </c>
      <c r="M4" s="50">
        <f ca="1">IFERROR(SUMPRODUCT(INDIRECT("Hébergement[Montant par mois]"),Hébergement[M09]),0)</f>
        <v>0</v>
      </c>
      <c r="N4" s="50">
        <f ca="1">IFERROR(SUMPRODUCT(INDIRECT("Hébergement[Montant par mois]"),Hébergement[M10]),0)</f>
        <v>0</v>
      </c>
      <c r="O4" s="50">
        <f ca="1">IFERROR(SUMPRODUCT(INDIRECT("Hébergement[Montant par mois]"),Hébergement[M11]),0)</f>
        <v>0</v>
      </c>
      <c r="P4" s="50">
        <f ca="1">IFERROR(SUMPRODUCT(INDIRECT("Hébergement[Montant par mois]"),Hébergement[M12]),0)</f>
        <v>0</v>
      </c>
      <c r="Q4" s="50">
        <f ca="1">IFERROR(SUMPRODUCT(INDIRECT("Hébergement[Montant par mois]"),Hébergement[M13]),0)</f>
        <v>0</v>
      </c>
      <c r="R4" s="50">
        <f ca="1">IFERROR(SUMPRODUCT(INDIRECT("Hébergement[Montant par mois]"),Hébergement[M14]),0)</f>
        <v>0</v>
      </c>
      <c r="S4" s="50">
        <f ca="1">IFERROR(SUMPRODUCT(INDIRECT("Hébergement[Montant par mois]"),Hébergement[M15]),0)</f>
        <v>0</v>
      </c>
      <c r="T4" s="50">
        <f ca="1">IFERROR(SUMPRODUCT(INDIRECT("Hébergement[Montant par mois]"),Hébergement[M16]),0)</f>
        <v>0</v>
      </c>
      <c r="U4" s="50">
        <f ca="1">IFERROR(SUMPRODUCT(INDIRECT("Hébergement[Montant par mois]"),Hébergement[M17]),0)</f>
        <v>0</v>
      </c>
      <c r="V4" s="50">
        <f ca="1">IFERROR(SUMPRODUCT(INDIRECT("Hébergement[Montant par mois]"),Hébergement[M18]),0)</f>
        <v>0</v>
      </c>
      <c r="W4" s="50">
        <f ca="1">IFERROR(SUMPRODUCT(INDIRECT("Hébergement[Montant par mois]"),Hébergement[M19]),0)</f>
        <v>0</v>
      </c>
      <c r="X4" s="50">
        <f ca="1">IFERROR(SUMPRODUCT(INDIRECT("Hébergement[Montant par mois]"),Hébergement[M20]),0)</f>
        <v>0</v>
      </c>
      <c r="Y4" s="50">
        <f ca="1">IFERROR(SUMPRODUCT(INDIRECT("Hébergement[Montant par mois]"),Hébergement[M21]),0)</f>
        <v>0</v>
      </c>
      <c r="Z4" s="50">
        <f ca="1">IFERROR(SUMPRODUCT(INDIRECT("Hébergement[Montant par mois]"),Hébergement[M22]),0)</f>
        <v>0</v>
      </c>
      <c r="AA4" s="50">
        <f ca="1">IFERROR(SUMPRODUCT(INDIRECT("Hébergement[Montant par mois]"),Hébergement[M23]),0)</f>
        <v>0</v>
      </c>
      <c r="AB4" s="50">
        <f ca="1">IFERROR(SUMPRODUCT(INDIRECT("Hébergement[Montant par mois]"),Hébergement[M24]),0)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4">
    <outlinePr summaryBelow="0" summaryRight="0"/>
  </sheetPr>
  <dimension ref="A1:AC6"/>
  <sheetViews>
    <sheetView workbookViewId="0">
      <pane xSplit="5" ySplit="2" topLeftCell="F3" activePane="bottomRight" state="frozen"/>
      <selection activeCell="F29" sqref="F29"/>
      <selection pane="topRight" activeCell="F29" sqref="F29"/>
      <selection pane="bottomLeft" activeCell="F29" sqref="F29"/>
      <selection pane="bottomRight" activeCell="C4" sqref="C4"/>
    </sheetView>
  </sheetViews>
  <sheetFormatPr baseColWidth="10" defaultRowHeight="15" outlineLevelCol="1" x14ac:dyDescent="0.25"/>
  <cols>
    <col min="1" max="1" width="5.42578125" customWidth="1"/>
    <col min="2" max="2" width="30.5703125" customWidth="1"/>
    <col min="3" max="3" width="11" customWidth="1"/>
    <col min="4" max="4" width="21.140625" customWidth="1"/>
    <col min="5" max="5" width="12.42578125" customWidth="1" collapsed="1"/>
    <col min="6" max="29" width="12.5703125" hidden="1" customWidth="1" outlineLevel="1"/>
  </cols>
  <sheetData>
    <row r="1" spans="1:29" ht="26.25" x14ac:dyDescent="0.4">
      <c r="A1" s="18" t="s">
        <v>71</v>
      </c>
      <c r="D1" s="25"/>
      <c r="E1" s="25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x14ac:dyDescent="0.25">
      <c r="A2" s="33" t="s">
        <v>1</v>
      </c>
      <c r="B2" s="33" t="s">
        <v>35</v>
      </c>
      <c r="C2" s="33" t="s">
        <v>34</v>
      </c>
      <c r="D2" s="33" t="s">
        <v>33</v>
      </c>
      <c r="E2" s="33" t="s">
        <v>61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6" t="s">
        <v>14</v>
      </c>
      <c r="R2" s="6" t="s">
        <v>15</v>
      </c>
      <c r="S2" s="6" t="s">
        <v>16</v>
      </c>
      <c r="T2" s="6" t="s">
        <v>17</v>
      </c>
      <c r="U2" s="6" t="s">
        <v>18</v>
      </c>
      <c r="V2" s="6" t="s">
        <v>19</v>
      </c>
      <c r="W2" s="7" t="s">
        <v>20</v>
      </c>
      <c r="X2" s="11" t="s">
        <v>27</v>
      </c>
      <c r="Y2" s="11" t="s">
        <v>28</v>
      </c>
      <c r="Z2" s="11" t="s">
        <v>29</v>
      </c>
      <c r="AA2" s="11" t="s">
        <v>30</v>
      </c>
      <c r="AB2" s="11" t="s">
        <v>31</v>
      </c>
      <c r="AC2" s="11" t="s">
        <v>32</v>
      </c>
    </row>
    <row r="3" spans="1:29" x14ac:dyDescent="0.25">
      <c r="A3" s="46"/>
      <c r="B3" s="35"/>
      <c r="C3" s="37"/>
      <c r="D3" s="42"/>
      <c r="E3" s="51">
        <f>SUM(Administration[[#This Row],[M01]:[M24]])</f>
        <v>0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x14ac:dyDescent="0.25">
      <c r="A4" s="46"/>
      <c r="B4" s="35"/>
      <c r="C4" s="37"/>
      <c r="D4" s="42"/>
      <c r="E4" s="51">
        <f>SUM(Administration[[#This Row],[M01]:[M24]])</f>
        <v>0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x14ac:dyDescent="0.25">
      <c r="A5" s="46"/>
      <c r="B5" s="35"/>
      <c r="C5" s="37"/>
      <c r="D5" s="42"/>
      <c r="E5" s="51">
        <f>SUM(Administration[[#This Row],[M01]:[M24]])</f>
        <v>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x14ac:dyDescent="0.25">
      <c r="C6" s="31"/>
      <c r="E6" s="54" t="s">
        <v>43</v>
      </c>
      <c r="F6" s="56">
        <f ca="1">IFERROR(SUMPRODUCT(INDIRECT("Administration[Montant]"),Administration[M01]),0)</f>
        <v>0</v>
      </c>
      <c r="G6" s="56">
        <f ca="1">IFERROR(SUMPRODUCT(INDIRECT("Administration[Montant]"),Administration[M02]),0)</f>
        <v>0</v>
      </c>
      <c r="H6" s="56">
        <f ca="1">IFERROR(SUMPRODUCT(INDIRECT("Administration[Montant]"),Administration[M03]),0)</f>
        <v>0</v>
      </c>
      <c r="I6" s="56">
        <f ca="1">IFERROR(SUMPRODUCT(INDIRECT("Administration[Montant]"),Administration[M04]),0)</f>
        <v>0</v>
      </c>
      <c r="J6" s="56">
        <f ca="1">IFERROR(SUMPRODUCT(INDIRECT("Administration[Montant]"),Administration[M05]),0)</f>
        <v>0</v>
      </c>
      <c r="K6" s="56">
        <f ca="1">IFERROR(SUMPRODUCT(INDIRECT("Administration[Montant]"),Administration[M06]),0)</f>
        <v>0</v>
      </c>
      <c r="L6" s="56">
        <f ca="1">IFERROR(SUMPRODUCT(INDIRECT("Administration[Montant]"),Administration[M07]),0)</f>
        <v>0</v>
      </c>
      <c r="M6" s="56">
        <f ca="1">IFERROR(SUMPRODUCT(INDIRECT("Administration[Montant]"),Administration[M08]),0)</f>
        <v>0</v>
      </c>
      <c r="N6" s="56">
        <f ca="1">IFERROR(SUMPRODUCT(INDIRECT("Administration[Montant]"),Administration[M09]),0)</f>
        <v>0</v>
      </c>
      <c r="O6" s="56">
        <f ca="1">IFERROR(SUMPRODUCT(INDIRECT("Administration[Montant]"),Administration[M10]),0)</f>
        <v>0</v>
      </c>
      <c r="P6" s="56">
        <f ca="1">IFERROR(SUMPRODUCT(INDIRECT("Administration[Montant]"),Administration[M11]),0)</f>
        <v>0</v>
      </c>
      <c r="Q6" s="56">
        <f ca="1">IFERROR(SUMPRODUCT(INDIRECT("Administration[Montant]"),Administration[M12]),0)</f>
        <v>0</v>
      </c>
      <c r="R6" s="56">
        <f ca="1">IFERROR(SUMPRODUCT(INDIRECT("Administration[Montant]"),Administration[M13]),0)</f>
        <v>0</v>
      </c>
      <c r="S6" s="56">
        <f ca="1">IFERROR(SUMPRODUCT(INDIRECT("Administration[Montant]"),Administration[M14]),0)</f>
        <v>0</v>
      </c>
      <c r="T6" s="56">
        <f ca="1">IFERROR(SUMPRODUCT(INDIRECT("Administration[Montant]"),Administration[M15]),0)</f>
        <v>0</v>
      </c>
      <c r="U6" s="56">
        <f ca="1">IFERROR(SUMPRODUCT(INDIRECT("Administration[Montant]"),Administration[M16]),0)</f>
        <v>0</v>
      </c>
      <c r="V6" s="56">
        <f ca="1">IFERROR(SUMPRODUCT(INDIRECT("Administration[Montant]"),Administration[M17]),0)</f>
        <v>0</v>
      </c>
      <c r="W6" s="56">
        <f ca="1">IFERROR(SUMPRODUCT(INDIRECT("Administration[Montant]"),Administration[M18]),0)</f>
        <v>0</v>
      </c>
      <c r="X6" s="56">
        <f ca="1">IFERROR(SUMPRODUCT(INDIRECT("Administration[Montant]"),Administration[M19]),0)</f>
        <v>0</v>
      </c>
      <c r="Y6" s="56">
        <f ca="1">IFERROR(SUMPRODUCT(INDIRECT("Administration[Montant]"),Administration[M20]),0)</f>
        <v>0</v>
      </c>
      <c r="Z6" s="56">
        <f ca="1">IFERROR(SUMPRODUCT(INDIRECT("Administration[Montant]"),Administration[M21]),0)</f>
        <v>0</v>
      </c>
      <c r="AA6" s="56">
        <f ca="1">IFERROR(SUMPRODUCT(INDIRECT("Administration[Montant]"),Administration[M22]),0)</f>
        <v>0</v>
      </c>
      <c r="AB6" s="56">
        <f ca="1">IFERROR(SUMPRODUCT(INDIRECT("Administration[Montant]"),Administration[M23]),0)</f>
        <v>0</v>
      </c>
      <c r="AC6" s="56">
        <f ca="1">IFERROR(SUMPRODUCT(INDIRECT("Administration[Montant]"),Administration[M24]),0)</f>
        <v>0</v>
      </c>
    </row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2DA7F-27DB-4042-BD6E-361352A56E1B}">
  <dimension ref="A1:I197"/>
  <sheetViews>
    <sheetView topLeftCell="B8" zoomScale="140" zoomScaleNormal="140" workbookViewId="0">
      <selection activeCell="D25" sqref="D25"/>
    </sheetView>
  </sheetViews>
  <sheetFormatPr baseColWidth="10" defaultColWidth="9.140625" defaultRowHeight="15.75" x14ac:dyDescent="0.25"/>
  <cols>
    <col min="1" max="1" width="8.42578125" style="328" customWidth="1"/>
    <col min="2" max="2" width="54.7109375" style="254" customWidth="1"/>
    <col min="3" max="3" width="7.85546875" style="254" customWidth="1"/>
    <col min="4" max="4" width="13.28515625" style="285" customWidth="1"/>
    <col min="5" max="5" width="14.140625" style="253" customWidth="1"/>
    <col min="6" max="6" width="16.42578125" style="329" customWidth="1"/>
    <col min="7" max="7" width="14.5703125" style="253" bestFit="1" customWidth="1"/>
    <col min="8" max="8" width="9.140625" style="254"/>
    <col min="9" max="9" width="12.140625" style="254" customWidth="1"/>
    <col min="10" max="256" width="9.140625" style="254"/>
    <col min="257" max="257" width="8.42578125" style="254" customWidth="1"/>
    <col min="258" max="258" width="54.7109375" style="254" customWidth="1"/>
    <col min="259" max="259" width="7.85546875" style="254" customWidth="1"/>
    <col min="260" max="260" width="10" style="254" customWidth="1"/>
    <col min="261" max="261" width="20.5703125" style="254" customWidth="1"/>
    <col min="262" max="262" width="15.7109375" style="254" bestFit="1" customWidth="1"/>
    <col min="263" max="263" width="14.5703125" style="254" bestFit="1" customWidth="1"/>
    <col min="264" max="512" width="9.140625" style="254"/>
    <col min="513" max="513" width="8.42578125" style="254" customWidth="1"/>
    <col min="514" max="514" width="54.7109375" style="254" customWidth="1"/>
    <col min="515" max="515" width="7.85546875" style="254" customWidth="1"/>
    <col min="516" max="516" width="10" style="254" customWidth="1"/>
    <col min="517" max="517" width="20.5703125" style="254" customWidth="1"/>
    <col min="518" max="518" width="15.7109375" style="254" bestFit="1" customWidth="1"/>
    <col min="519" max="519" width="14.5703125" style="254" bestFit="1" customWidth="1"/>
    <col min="520" max="768" width="9.140625" style="254"/>
    <col min="769" max="769" width="8.42578125" style="254" customWidth="1"/>
    <col min="770" max="770" width="54.7109375" style="254" customWidth="1"/>
    <col min="771" max="771" width="7.85546875" style="254" customWidth="1"/>
    <col min="772" max="772" width="10" style="254" customWidth="1"/>
    <col min="773" max="773" width="20.5703125" style="254" customWidth="1"/>
    <col min="774" max="774" width="15.7109375" style="254" bestFit="1" customWidth="1"/>
    <col min="775" max="775" width="14.5703125" style="254" bestFit="1" customWidth="1"/>
    <col min="776" max="1024" width="9.140625" style="254"/>
    <col min="1025" max="1025" width="8.42578125" style="254" customWidth="1"/>
    <col min="1026" max="1026" width="54.7109375" style="254" customWidth="1"/>
    <col min="1027" max="1027" width="7.85546875" style="254" customWidth="1"/>
    <col min="1028" max="1028" width="10" style="254" customWidth="1"/>
    <col min="1029" max="1029" width="20.5703125" style="254" customWidth="1"/>
    <col min="1030" max="1030" width="15.7109375" style="254" bestFit="1" customWidth="1"/>
    <col min="1031" max="1031" width="14.5703125" style="254" bestFit="1" customWidth="1"/>
    <col min="1032" max="1280" width="9.140625" style="254"/>
    <col min="1281" max="1281" width="8.42578125" style="254" customWidth="1"/>
    <col min="1282" max="1282" width="54.7109375" style="254" customWidth="1"/>
    <col min="1283" max="1283" width="7.85546875" style="254" customWidth="1"/>
    <col min="1284" max="1284" width="10" style="254" customWidth="1"/>
    <col min="1285" max="1285" width="20.5703125" style="254" customWidth="1"/>
    <col min="1286" max="1286" width="15.7109375" style="254" bestFit="1" customWidth="1"/>
    <col min="1287" max="1287" width="14.5703125" style="254" bestFit="1" customWidth="1"/>
    <col min="1288" max="1536" width="9.140625" style="254"/>
    <col min="1537" max="1537" width="8.42578125" style="254" customWidth="1"/>
    <col min="1538" max="1538" width="54.7109375" style="254" customWidth="1"/>
    <col min="1539" max="1539" width="7.85546875" style="254" customWidth="1"/>
    <col min="1540" max="1540" width="10" style="254" customWidth="1"/>
    <col min="1541" max="1541" width="20.5703125" style="254" customWidth="1"/>
    <col min="1542" max="1542" width="15.7109375" style="254" bestFit="1" customWidth="1"/>
    <col min="1543" max="1543" width="14.5703125" style="254" bestFit="1" customWidth="1"/>
    <col min="1544" max="1792" width="9.140625" style="254"/>
    <col min="1793" max="1793" width="8.42578125" style="254" customWidth="1"/>
    <col min="1794" max="1794" width="54.7109375" style="254" customWidth="1"/>
    <col min="1795" max="1795" width="7.85546875" style="254" customWidth="1"/>
    <col min="1796" max="1796" width="10" style="254" customWidth="1"/>
    <col min="1797" max="1797" width="20.5703125" style="254" customWidth="1"/>
    <col min="1798" max="1798" width="15.7109375" style="254" bestFit="1" customWidth="1"/>
    <col min="1799" max="1799" width="14.5703125" style="254" bestFit="1" customWidth="1"/>
    <col min="1800" max="2048" width="9.140625" style="254"/>
    <col min="2049" max="2049" width="8.42578125" style="254" customWidth="1"/>
    <col min="2050" max="2050" width="54.7109375" style="254" customWidth="1"/>
    <col min="2051" max="2051" width="7.85546875" style="254" customWidth="1"/>
    <col min="2052" max="2052" width="10" style="254" customWidth="1"/>
    <col min="2053" max="2053" width="20.5703125" style="254" customWidth="1"/>
    <col min="2054" max="2054" width="15.7109375" style="254" bestFit="1" customWidth="1"/>
    <col min="2055" max="2055" width="14.5703125" style="254" bestFit="1" customWidth="1"/>
    <col min="2056" max="2304" width="9.140625" style="254"/>
    <col min="2305" max="2305" width="8.42578125" style="254" customWidth="1"/>
    <col min="2306" max="2306" width="54.7109375" style="254" customWidth="1"/>
    <col min="2307" max="2307" width="7.85546875" style="254" customWidth="1"/>
    <col min="2308" max="2308" width="10" style="254" customWidth="1"/>
    <col min="2309" max="2309" width="20.5703125" style="254" customWidth="1"/>
    <col min="2310" max="2310" width="15.7109375" style="254" bestFit="1" customWidth="1"/>
    <col min="2311" max="2311" width="14.5703125" style="254" bestFit="1" customWidth="1"/>
    <col min="2312" max="2560" width="9.140625" style="254"/>
    <col min="2561" max="2561" width="8.42578125" style="254" customWidth="1"/>
    <col min="2562" max="2562" width="54.7109375" style="254" customWidth="1"/>
    <col min="2563" max="2563" width="7.85546875" style="254" customWidth="1"/>
    <col min="2564" max="2564" width="10" style="254" customWidth="1"/>
    <col min="2565" max="2565" width="20.5703125" style="254" customWidth="1"/>
    <col min="2566" max="2566" width="15.7109375" style="254" bestFit="1" customWidth="1"/>
    <col min="2567" max="2567" width="14.5703125" style="254" bestFit="1" customWidth="1"/>
    <col min="2568" max="2816" width="9.140625" style="254"/>
    <col min="2817" max="2817" width="8.42578125" style="254" customWidth="1"/>
    <col min="2818" max="2818" width="54.7109375" style="254" customWidth="1"/>
    <col min="2819" max="2819" width="7.85546875" style="254" customWidth="1"/>
    <col min="2820" max="2820" width="10" style="254" customWidth="1"/>
    <col min="2821" max="2821" width="20.5703125" style="254" customWidth="1"/>
    <col min="2822" max="2822" width="15.7109375" style="254" bestFit="1" customWidth="1"/>
    <col min="2823" max="2823" width="14.5703125" style="254" bestFit="1" customWidth="1"/>
    <col min="2824" max="3072" width="9.140625" style="254"/>
    <col min="3073" max="3073" width="8.42578125" style="254" customWidth="1"/>
    <col min="3074" max="3074" width="54.7109375" style="254" customWidth="1"/>
    <col min="3075" max="3075" width="7.85546875" style="254" customWidth="1"/>
    <col min="3076" max="3076" width="10" style="254" customWidth="1"/>
    <col min="3077" max="3077" width="20.5703125" style="254" customWidth="1"/>
    <col min="3078" max="3078" width="15.7109375" style="254" bestFit="1" customWidth="1"/>
    <col min="3079" max="3079" width="14.5703125" style="254" bestFit="1" customWidth="1"/>
    <col min="3080" max="3328" width="9.140625" style="254"/>
    <col min="3329" max="3329" width="8.42578125" style="254" customWidth="1"/>
    <col min="3330" max="3330" width="54.7109375" style="254" customWidth="1"/>
    <col min="3331" max="3331" width="7.85546875" style="254" customWidth="1"/>
    <col min="3332" max="3332" width="10" style="254" customWidth="1"/>
    <col min="3333" max="3333" width="20.5703125" style="254" customWidth="1"/>
    <col min="3334" max="3334" width="15.7109375" style="254" bestFit="1" customWidth="1"/>
    <col min="3335" max="3335" width="14.5703125" style="254" bestFit="1" customWidth="1"/>
    <col min="3336" max="3584" width="9.140625" style="254"/>
    <col min="3585" max="3585" width="8.42578125" style="254" customWidth="1"/>
    <col min="3586" max="3586" width="54.7109375" style="254" customWidth="1"/>
    <col min="3587" max="3587" width="7.85546875" style="254" customWidth="1"/>
    <col min="3588" max="3588" width="10" style="254" customWidth="1"/>
    <col min="3589" max="3589" width="20.5703125" style="254" customWidth="1"/>
    <col min="3590" max="3590" width="15.7109375" style="254" bestFit="1" customWidth="1"/>
    <col min="3591" max="3591" width="14.5703125" style="254" bestFit="1" customWidth="1"/>
    <col min="3592" max="3840" width="9.140625" style="254"/>
    <col min="3841" max="3841" width="8.42578125" style="254" customWidth="1"/>
    <col min="3842" max="3842" width="54.7109375" style="254" customWidth="1"/>
    <col min="3843" max="3843" width="7.85546875" style="254" customWidth="1"/>
    <col min="3844" max="3844" width="10" style="254" customWidth="1"/>
    <col min="3845" max="3845" width="20.5703125" style="254" customWidth="1"/>
    <col min="3846" max="3846" width="15.7109375" style="254" bestFit="1" customWidth="1"/>
    <col min="3847" max="3847" width="14.5703125" style="254" bestFit="1" customWidth="1"/>
    <col min="3848" max="4096" width="9.140625" style="254"/>
    <col min="4097" max="4097" width="8.42578125" style="254" customWidth="1"/>
    <col min="4098" max="4098" width="54.7109375" style="254" customWidth="1"/>
    <col min="4099" max="4099" width="7.85546875" style="254" customWidth="1"/>
    <col min="4100" max="4100" width="10" style="254" customWidth="1"/>
    <col min="4101" max="4101" width="20.5703125" style="254" customWidth="1"/>
    <col min="4102" max="4102" width="15.7109375" style="254" bestFit="1" customWidth="1"/>
    <col min="4103" max="4103" width="14.5703125" style="254" bestFit="1" customWidth="1"/>
    <col min="4104" max="4352" width="9.140625" style="254"/>
    <col min="4353" max="4353" width="8.42578125" style="254" customWidth="1"/>
    <col min="4354" max="4354" width="54.7109375" style="254" customWidth="1"/>
    <col min="4355" max="4355" width="7.85546875" style="254" customWidth="1"/>
    <col min="4356" max="4356" width="10" style="254" customWidth="1"/>
    <col min="4357" max="4357" width="20.5703125" style="254" customWidth="1"/>
    <col min="4358" max="4358" width="15.7109375" style="254" bestFit="1" customWidth="1"/>
    <col min="4359" max="4359" width="14.5703125" style="254" bestFit="1" customWidth="1"/>
    <col min="4360" max="4608" width="9.140625" style="254"/>
    <col min="4609" max="4609" width="8.42578125" style="254" customWidth="1"/>
    <col min="4610" max="4610" width="54.7109375" style="254" customWidth="1"/>
    <col min="4611" max="4611" width="7.85546875" style="254" customWidth="1"/>
    <col min="4612" max="4612" width="10" style="254" customWidth="1"/>
    <col min="4613" max="4613" width="20.5703125" style="254" customWidth="1"/>
    <col min="4614" max="4614" width="15.7109375" style="254" bestFit="1" customWidth="1"/>
    <col min="4615" max="4615" width="14.5703125" style="254" bestFit="1" customWidth="1"/>
    <col min="4616" max="4864" width="9.140625" style="254"/>
    <col min="4865" max="4865" width="8.42578125" style="254" customWidth="1"/>
    <col min="4866" max="4866" width="54.7109375" style="254" customWidth="1"/>
    <col min="4867" max="4867" width="7.85546875" style="254" customWidth="1"/>
    <col min="4868" max="4868" width="10" style="254" customWidth="1"/>
    <col min="4869" max="4869" width="20.5703125" style="254" customWidth="1"/>
    <col min="4870" max="4870" width="15.7109375" style="254" bestFit="1" customWidth="1"/>
    <col min="4871" max="4871" width="14.5703125" style="254" bestFit="1" customWidth="1"/>
    <col min="4872" max="5120" width="9.140625" style="254"/>
    <col min="5121" max="5121" width="8.42578125" style="254" customWidth="1"/>
    <col min="5122" max="5122" width="54.7109375" style="254" customWidth="1"/>
    <col min="5123" max="5123" width="7.85546875" style="254" customWidth="1"/>
    <col min="5124" max="5124" width="10" style="254" customWidth="1"/>
    <col min="5125" max="5125" width="20.5703125" style="254" customWidth="1"/>
    <col min="5126" max="5126" width="15.7109375" style="254" bestFit="1" customWidth="1"/>
    <col min="5127" max="5127" width="14.5703125" style="254" bestFit="1" customWidth="1"/>
    <col min="5128" max="5376" width="9.140625" style="254"/>
    <col min="5377" max="5377" width="8.42578125" style="254" customWidth="1"/>
    <col min="5378" max="5378" width="54.7109375" style="254" customWidth="1"/>
    <col min="5379" max="5379" width="7.85546875" style="254" customWidth="1"/>
    <col min="5380" max="5380" width="10" style="254" customWidth="1"/>
    <col min="5381" max="5381" width="20.5703125" style="254" customWidth="1"/>
    <col min="5382" max="5382" width="15.7109375" style="254" bestFit="1" customWidth="1"/>
    <col min="5383" max="5383" width="14.5703125" style="254" bestFit="1" customWidth="1"/>
    <col min="5384" max="5632" width="9.140625" style="254"/>
    <col min="5633" max="5633" width="8.42578125" style="254" customWidth="1"/>
    <col min="5634" max="5634" width="54.7109375" style="254" customWidth="1"/>
    <col min="5635" max="5635" width="7.85546875" style="254" customWidth="1"/>
    <col min="5636" max="5636" width="10" style="254" customWidth="1"/>
    <col min="5637" max="5637" width="20.5703125" style="254" customWidth="1"/>
    <col min="5638" max="5638" width="15.7109375" style="254" bestFit="1" customWidth="1"/>
    <col min="5639" max="5639" width="14.5703125" style="254" bestFit="1" customWidth="1"/>
    <col min="5640" max="5888" width="9.140625" style="254"/>
    <col min="5889" max="5889" width="8.42578125" style="254" customWidth="1"/>
    <col min="5890" max="5890" width="54.7109375" style="254" customWidth="1"/>
    <col min="5891" max="5891" width="7.85546875" style="254" customWidth="1"/>
    <col min="5892" max="5892" width="10" style="254" customWidth="1"/>
    <col min="5893" max="5893" width="20.5703125" style="254" customWidth="1"/>
    <col min="5894" max="5894" width="15.7109375" style="254" bestFit="1" customWidth="1"/>
    <col min="5895" max="5895" width="14.5703125" style="254" bestFit="1" customWidth="1"/>
    <col min="5896" max="6144" width="9.140625" style="254"/>
    <col min="6145" max="6145" width="8.42578125" style="254" customWidth="1"/>
    <col min="6146" max="6146" width="54.7109375" style="254" customWidth="1"/>
    <col min="6147" max="6147" width="7.85546875" style="254" customWidth="1"/>
    <col min="6148" max="6148" width="10" style="254" customWidth="1"/>
    <col min="6149" max="6149" width="20.5703125" style="254" customWidth="1"/>
    <col min="6150" max="6150" width="15.7109375" style="254" bestFit="1" customWidth="1"/>
    <col min="6151" max="6151" width="14.5703125" style="254" bestFit="1" customWidth="1"/>
    <col min="6152" max="6400" width="9.140625" style="254"/>
    <col min="6401" max="6401" width="8.42578125" style="254" customWidth="1"/>
    <col min="6402" max="6402" width="54.7109375" style="254" customWidth="1"/>
    <col min="6403" max="6403" width="7.85546875" style="254" customWidth="1"/>
    <col min="6404" max="6404" width="10" style="254" customWidth="1"/>
    <col min="6405" max="6405" width="20.5703125" style="254" customWidth="1"/>
    <col min="6406" max="6406" width="15.7109375" style="254" bestFit="1" customWidth="1"/>
    <col min="6407" max="6407" width="14.5703125" style="254" bestFit="1" customWidth="1"/>
    <col min="6408" max="6656" width="9.140625" style="254"/>
    <col min="6657" max="6657" width="8.42578125" style="254" customWidth="1"/>
    <col min="6658" max="6658" width="54.7109375" style="254" customWidth="1"/>
    <col min="6659" max="6659" width="7.85546875" style="254" customWidth="1"/>
    <col min="6660" max="6660" width="10" style="254" customWidth="1"/>
    <col min="6661" max="6661" width="20.5703125" style="254" customWidth="1"/>
    <col min="6662" max="6662" width="15.7109375" style="254" bestFit="1" customWidth="1"/>
    <col min="6663" max="6663" width="14.5703125" style="254" bestFit="1" customWidth="1"/>
    <col min="6664" max="6912" width="9.140625" style="254"/>
    <col min="6913" max="6913" width="8.42578125" style="254" customWidth="1"/>
    <col min="6914" max="6914" width="54.7109375" style="254" customWidth="1"/>
    <col min="6915" max="6915" width="7.85546875" style="254" customWidth="1"/>
    <col min="6916" max="6916" width="10" style="254" customWidth="1"/>
    <col min="6917" max="6917" width="20.5703125" style="254" customWidth="1"/>
    <col min="6918" max="6918" width="15.7109375" style="254" bestFit="1" customWidth="1"/>
    <col min="6919" max="6919" width="14.5703125" style="254" bestFit="1" customWidth="1"/>
    <col min="6920" max="7168" width="9.140625" style="254"/>
    <col min="7169" max="7169" width="8.42578125" style="254" customWidth="1"/>
    <col min="7170" max="7170" width="54.7109375" style="254" customWidth="1"/>
    <col min="7171" max="7171" width="7.85546875" style="254" customWidth="1"/>
    <col min="7172" max="7172" width="10" style="254" customWidth="1"/>
    <col min="7173" max="7173" width="20.5703125" style="254" customWidth="1"/>
    <col min="7174" max="7174" width="15.7109375" style="254" bestFit="1" customWidth="1"/>
    <col min="7175" max="7175" width="14.5703125" style="254" bestFit="1" customWidth="1"/>
    <col min="7176" max="7424" width="9.140625" style="254"/>
    <col min="7425" max="7425" width="8.42578125" style="254" customWidth="1"/>
    <col min="7426" max="7426" width="54.7109375" style="254" customWidth="1"/>
    <col min="7427" max="7427" width="7.85546875" style="254" customWidth="1"/>
    <col min="7428" max="7428" width="10" style="254" customWidth="1"/>
    <col min="7429" max="7429" width="20.5703125" style="254" customWidth="1"/>
    <col min="7430" max="7430" width="15.7109375" style="254" bestFit="1" customWidth="1"/>
    <col min="7431" max="7431" width="14.5703125" style="254" bestFit="1" customWidth="1"/>
    <col min="7432" max="7680" width="9.140625" style="254"/>
    <col min="7681" max="7681" width="8.42578125" style="254" customWidth="1"/>
    <col min="7682" max="7682" width="54.7109375" style="254" customWidth="1"/>
    <col min="7683" max="7683" width="7.85546875" style="254" customWidth="1"/>
    <col min="7684" max="7684" width="10" style="254" customWidth="1"/>
    <col min="7685" max="7685" width="20.5703125" style="254" customWidth="1"/>
    <col min="7686" max="7686" width="15.7109375" style="254" bestFit="1" customWidth="1"/>
    <col min="7687" max="7687" width="14.5703125" style="254" bestFit="1" customWidth="1"/>
    <col min="7688" max="7936" width="9.140625" style="254"/>
    <col min="7937" max="7937" width="8.42578125" style="254" customWidth="1"/>
    <col min="7938" max="7938" width="54.7109375" style="254" customWidth="1"/>
    <col min="7939" max="7939" width="7.85546875" style="254" customWidth="1"/>
    <col min="7940" max="7940" width="10" style="254" customWidth="1"/>
    <col min="7941" max="7941" width="20.5703125" style="254" customWidth="1"/>
    <col min="7942" max="7942" width="15.7109375" style="254" bestFit="1" customWidth="1"/>
    <col min="7943" max="7943" width="14.5703125" style="254" bestFit="1" customWidth="1"/>
    <col min="7944" max="8192" width="9.140625" style="254"/>
    <col min="8193" max="8193" width="8.42578125" style="254" customWidth="1"/>
    <col min="8194" max="8194" width="54.7109375" style="254" customWidth="1"/>
    <col min="8195" max="8195" width="7.85546875" style="254" customWidth="1"/>
    <col min="8196" max="8196" width="10" style="254" customWidth="1"/>
    <col min="8197" max="8197" width="20.5703125" style="254" customWidth="1"/>
    <col min="8198" max="8198" width="15.7109375" style="254" bestFit="1" customWidth="1"/>
    <col min="8199" max="8199" width="14.5703125" style="254" bestFit="1" customWidth="1"/>
    <col min="8200" max="8448" width="9.140625" style="254"/>
    <col min="8449" max="8449" width="8.42578125" style="254" customWidth="1"/>
    <col min="8450" max="8450" width="54.7109375" style="254" customWidth="1"/>
    <col min="8451" max="8451" width="7.85546875" style="254" customWidth="1"/>
    <col min="8452" max="8452" width="10" style="254" customWidth="1"/>
    <col min="8453" max="8453" width="20.5703125" style="254" customWidth="1"/>
    <col min="8454" max="8454" width="15.7109375" style="254" bestFit="1" customWidth="1"/>
    <col min="8455" max="8455" width="14.5703125" style="254" bestFit="1" customWidth="1"/>
    <col min="8456" max="8704" width="9.140625" style="254"/>
    <col min="8705" max="8705" width="8.42578125" style="254" customWidth="1"/>
    <col min="8706" max="8706" width="54.7109375" style="254" customWidth="1"/>
    <col min="8707" max="8707" width="7.85546875" style="254" customWidth="1"/>
    <col min="8708" max="8708" width="10" style="254" customWidth="1"/>
    <col min="8709" max="8709" width="20.5703125" style="254" customWidth="1"/>
    <col min="8710" max="8710" width="15.7109375" style="254" bestFit="1" customWidth="1"/>
    <col min="8711" max="8711" width="14.5703125" style="254" bestFit="1" customWidth="1"/>
    <col min="8712" max="8960" width="9.140625" style="254"/>
    <col min="8961" max="8961" width="8.42578125" style="254" customWidth="1"/>
    <col min="8962" max="8962" width="54.7109375" style="254" customWidth="1"/>
    <col min="8963" max="8963" width="7.85546875" style="254" customWidth="1"/>
    <col min="8964" max="8964" width="10" style="254" customWidth="1"/>
    <col min="8965" max="8965" width="20.5703125" style="254" customWidth="1"/>
    <col min="8966" max="8966" width="15.7109375" style="254" bestFit="1" customWidth="1"/>
    <col min="8967" max="8967" width="14.5703125" style="254" bestFit="1" customWidth="1"/>
    <col min="8968" max="9216" width="9.140625" style="254"/>
    <col min="9217" max="9217" width="8.42578125" style="254" customWidth="1"/>
    <col min="9218" max="9218" width="54.7109375" style="254" customWidth="1"/>
    <col min="9219" max="9219" width="7.85546875" style="254" customWidth="1"/>
    <col min="9220" max="9220" width="10" style="254" customWidth="1"/>
    <col min="9221" max="9221" width="20.5703125" style="254" customWidth="1"/>
    <col min="9222" max="9222" width="15.7109375" style="254" bestFit="1" customWidth="1"/>
    <col min="9223" max="9223" width="14.5703125" style="254" bestFit="1" customWidth="1"/>
    <col min="9224" max="9472" width="9.140625" style="254"/>
    <col min="9473" max="9473" width="8.42578125" style="254" customWidth="1"/>
    <col min="9474" max="9474" width="54.7109375" style="254" customWidth="1"/>
    <col min="9475" max="9475" width="7.85546875" style="254" customWidth="1"/>
    <col min="9476" max="9476" width="10" style="254" customWidth="1"/>
    <col min="9477" max="9477" width="20.5703125" style="254" customWidth="1"/>
    <col min="9478" max="9478" width="15.7109375" style="254" bestFit="1" customWidth="1"/>
    <col min="9479" max="9479" width="14.5703125" style="254" bestFit="1" customWidth="1"/>
    <col min="9480" max="9728" width="9.140625" style="254"/>
    <col min="9729" max="9729" width="8.42578125" style="254" customWidth="1"/>
    <col min="9730" max="9730" width="54.7109375" style="254" customWidth="1"/>
    <col min="9731" max="9731" width="7.85546875" style="254" customWidth="1"/>
    <col min="9732" max="9732" width="10" style="254" customWidth="1"/>
    <col min="9733" max="9733" width="20.5703125" style="254" customWidth="1"/>
    <col min="9734" max="9734" width="15.7109375" style="254" bestFit="1" customWidth="1"/>
    <col min="9735" max="9735" width="14.5703125" style="254" bestFit="1" customWidth="1"/>
    <col min="9736" max="9984" width="9.140625" style="254"/>
    <col min="9985" max="9985" width="8.42578125" style="254" customWidth="1"/>
    <col min="9986" max="9986" width="54.7109375" style="254" customWidth="1"/>
    <col min="9987" max="9987" width="7.85546875" style="254" customWidth="1"/>
    <col min="9988" max="9988" width="10" style="254" customWidth="1"/>
    <col min="9989" max="9989" width="20.5703125" style="254" customWidth="1"/>
    <col min="9990" max="9990" width="15.7109375" style="254" bestFit="1" customWidth="1"/>
    <col min="9991" max="9991" width="14.5703125" style="254" bestFit="1" customWidth="1"/>
    <col min="9992" max="10240" width="9.140625" style="254"/>
    <col min="10241" max="10241" width="8.42578125" style="254" customWidth="1"/>
    <col min="10242" max="10242" width="54.7109375" style="254" customWidth="1"/>
    <col min="10243" max="10243" width="7.85546875" style="254" customWidth="1"/>
    <col min="10244" max="10244" width="10" style="254" customWidth="1"/>
    <col min="10245" max="10245" width="20.5703125" style="254" customWidth="1"/>
    <col min="10246" max="10246" width="15.7109375" style="254" bestFit="1" customWidth="1"/>
    <col min="10247" max="10247" width="14.5703125" style="254" bestFit="1" customWidth="1"/>
    <col min="10248" max="10496" width="9.140625" style="254"/>
    <col min="10497" max="10497" width="8.42578125" style="254" customWidth="1"/>
    <col min="10498" max="10498" width="54.7109375" style="254" customWidth="1"/>
    <col min="10499" max="10499" width="7.85546875" style="254" customWidth="1"/>
    <col min="10500" max="10500" width="10" style="254" customWidth="1"/>
    <col min="10501" max="10501" width="20.5703125" style="254" customWidth="1"/>
    <col min="10502" max="10502" width="15.7109375" style="254" bestFit="1" customWidth="1"/>
    <col min="10503" max="10503" width="14.5703125" style="254" bestFit="1" customWidth="1"/>
    <col min="10504" max="10752" width="9.140625" style="254"/>
    <col min="10753" max="10753" width="8.42578125" style="254" customWidth="1"/>
    <col min="10754" max="10754" width="54.7109375" style="254" customWidth="1"/>
    <col min="10755" max="10755" width="7.85546875" style="254" customWidth="1"/>
    <col min="10756" max="10756" width="10" style="254" customWidth="1"/>
    <col min="10757" max="10757" width="20.5703125" style="254" customWidth="1"/>
    <col min="10758" max="10758" width="15.7109375" style="254" bestFit="1" customWidth="1"/>
    <col min="10759" max="10759" width="14.5703125" style="254" bestFit="1" customWidth="1"/>
    <col min="10760" max="11008" width="9.140625" style="254"/>
    <col min="11009" max="11009" width="8.42578125" style="254" customWidth="1"/>
    <col min="11010" max="11010" width="54.7109375" style="254" customWidth="1"/>
    <col min="11011" max="11011" width="7.85546875" style="254" customWidth="1"/>
    <col min="11012" max="11012" width="10" style="254" customWidth="1"/>
    <col min="11013" max="11013" width="20.5703125" style="254" customWidth="1"/>
    <col min="11014" max="11014" width="15.7109375" style="254" bestFit="1" customWidth="1"/>
    <col min="11015" max="11015" width="14.5703125" style="254" bestFit="1" customWidth="1"/>
    <col min="11016" max="11264" width="9.140625" style="254"/>
    <col min="11265" max="11265" width="8.42578125" style="254" customWidth="1"/>
    <col min="11266" max="11266" width="54.7109375" style="254" customWidth="1"/>
    <col min="11267" max="11267" width="7.85546875" style="254" customWidth="1"/>
    <col min="11268" max="11268" width="10" style="254" customWidth="1"/>
    <col min="11269" max="11269" width="20.5703125" style="254" customWidth="1"/>
    <col min="11270" max="11270" width="15.7109375" style="254" bestFit="1" customWidth="1"/>
    <col min="11271" max="11271" width="14.5703125" style="254" bestFit="1" customWidth="1"/>
    <col min="11272" max="11520" width="9.140625" style="254"/>
    <col min="11521" max="11521" width="8.42578125" style="254" customWidth="1"/>
    <col min="11522" max="11522" width="54.7109375" style="254" customWidth="1"/>
    <col min="11523" max="11523" width="7.85546875" style="254" customWidth="1"/>
    <col min="11524" max="11524" width="10" style="254" customWidth="1"/>
    <col min="11525" max="11525" width="20.5703125" style="254" customWidth="1"/>
    <col min="11526" max="11526" width="15.7109375" style="254" bestFit="1" customWidth="1"/>
    <col min="11527" max="11527" width="14.5703125" style="254" bestFit="1" customWidth="1"/>
    <col min="11528" max="11776" width="9.140625" style="254"/>
    <col min="11777" max="11777" width="8.42578125" style="254" customWidth="1"/>
    <col min="11778" max="11778" width="54.7109375" style="254" customWidth="1"/>
    <col min="11779" max="11779" width="7.85546875" style="254" customWidth="1"/>
    <col min="11780" max="11780" width="10" style="254" customWidth="1"/>
    <col min="11781" max="11781" width="20.5703125" style="254" customWidth="1"/>
    <col min="11782" max="11782" width="15.7109375" style="254" bestFit="1" customWidth="1"/>
    <col min="11783" max="11783" width="14.5703125" style="254" bestFit="1" customWidth="1"/>
    <col min="11784" max="12032" width="9.140625" style="254"/>
    <col min="12033" max="12033" width="8.42578125" style="254" customWidth="1"/>
    <col min="12034" max="12034" width="54.7109375" style="254" customWidth="1"/>
    <col min="12035" max="12035" width="7.85546875" style="254" customWidth="1"/>
    <col min="12036" max="12036" width="10" style="254" customWidth="1"/>
    <col min="12037" max="12037" width="20.5703125" style="254" customWidth="1"/>
    <col min="12038" max="12038" width="15.7109375" style="254" bestFit="1" customWidth="1"/>
    <col min="12039" max="12039" width="14.5703125" style="254" bestFit="1" customWidth="1"/>
    <col min="12040" max="12288" width="9.140625" style="254"/>
    <col min="12289" max="12289" width="8.42578125" style="254" customWidth="1"/>
    <col min="12290" max="12290" width="54.7109375" style="254" customWidth="1"/>
    <col min="12291" max="12291" width="7.85546875" style="254" customWidth="1"/>
    <col min="12292" max="12292" width="10" style="254" customWidth="1"/>
    <col min="12293" max="12293" width="20.5703125" style="254" customWidth="1"/>
    <col min="12294" max="12294" width="15.7109375" style="254" bestFit="1" customWidth="1"/>
    <col min="12295" max="12295" width="14.5703125" style="254" bestFit="1" customWidth="1"/>
    <col min="12296" max="12544" width="9.140625" style="254"/>
    <col min="12545" max="12545" width="8.42578125" style="254" customWidth="1"/>
    <col min="12546" max="12546" width="54.7109375" style="254" customWidth="1"/>
    <col min="12547" max="12547" width="7.85546875" style="254" customWidth="1"/>
    <col min="12548" max="12548" width="10" style="254" customWidth="1"/>
    <col min="12549" max="12549" width="20.5703125" style="254" customWidth="1"/>
    <col min="12550" max="12550" width="15.7109375" style="254" bestFit="1" customWidth="1"/>
    <col min="12551" max="12551" width="14.5703125" style="254" bestFit="1" customWidth="1"/>
    <col min="12552" max="12800" width="9.140625" style="254"/>
    <col min="12801" max="12801" width="8.42578125" style="254" customWidth="1"/>
    <col min="12802" max="12802" width="54.7109375" style="254" customWidth="1"/>
    <col min="12803" max="12803" width="7.85546875" style="254" customWidth="1"/>
    <col min="12804" max="12804" width="10" style="254" customWidth="1"/>
    <col min="12805" max="12805" width="20.5703125" style="254" customWidth="1"/>
    <col min="12806" max="12806" width="15.7109375" style="254" bestFit="1" customWidth="1"/>
    <col min="12807" max="12807" width="14.5703125" style="254" bestFit="1" customWidth="1"/>
    <col min="12808" max="13056" width="9.140625" style="254"/>
    <col min="13057" max="13057" width="8.42578125" style="254" customWidth="1"/>
    <col min="13058" max="13058" width="54.7109375" style="254" customWidth="1"/>
    <col min="13059" max="13059" width="7.85546875" style="254" customWidth="1"/>
    <col min="13060" max="13060" width="10" style="254" customWidth="1"/>
    <col min="13061" max="13061" width="20.5703125" style="254" customWidth="1"/>
    <col min="13062" max="13062" width="15.7109375" style="254" bestFit="1" customWidth="1"/>
    <col min="13063" max="13063" width="14.5703125" style="254" bestFit="1" customWidth="1"/>
    <col min="13064" max="13312" width="9.140625" style="254"/>
    <col min="13313" max="13313" width="8.42578125" style="254" customWidth="1"/>
    <col min="13314" max="13314" width="54.7109375" style="254" customWidth="1"/>
    <col min="13315" max="13315" width="7.85546875" style="254" customWidth="1"/>
    <col min="13316" max="13316" width="10" style="254" customWidth="1"/>
    <col min="13317" max="13317" width="20.5703125" style="254" customWidth="1"/>
    <col min="13318" max="13318" width="15.7109375" style="254" bestFit="1" customWidth="1"/>
    <col min="13319" max="13319" width="14.5703125" style="254" bestFit="1" customWidth="1"/>
    <col min="13320" max="13568" width="9.140625" style="254"/>
    <col min="13569" max="13569" width="8.42578125" style="254" customWidth="1"/>
    <col min="13570" max="13570" width="54.7109375" style="254" customWidth="1"/>
    <col min="13571" max="13571" width="7.85546875" style="254" customWidth="1"/>
    <col min="13572" max="13572" width="10" style="254" customWidth="1"/>
    <col min="13573" max="13573" width="20.5703125" style="254" customWidth="1"/>
    <col min="13574" max="13574" width="15.7109375" style="254" bestFit="1" customWidth="1"/>
    <col min="13575" max="13575" width="14.5703125" style="254" bestFit="1" customWidth="1"/>
    <col min="13576" max="13824" width="9.140625" style="254"/>
    <col min="13825" max="13825" width="8.42578125" style="254" customWidth="1"/>
    <col min="13826" max="13826" width="54.7109375" style="254" customWidth="1"/>
    <col min="13827" max="13827" width="7.85546875" style="254" customWidth="1"/>
    <col min="13828" max="13828" width="10" style="254" customWidth="1"/>
    <col min="13829" max="13829" width="20.5703125" style="254" customWidth="1"/>
    <col min="13830" max="13830" width="15.7109375" style="254" bestFit="1" customWidth="1"/>
    <col min="13831" max="13831" width="14.5703125" style="254" bestFit="1" customWidth="1"/>
    <col min="13832" max="14080" width="9.140625" style="254"/>
    <col min="14081" max="14081" width="8.42578125" style="254" customWidth="1"/>
    <col min="14082" max="14082" width="54.7109375" style="254" customWidth="1"/>
    <col min="14083" max="14083" width="7.85546875" style="254" customWidth="1"/>
    <col min="14084" max="14084" width="10" style="254" customWidth="1"/>
    <col min="14085" max="14085" width="20.5703125" style="254" customWidth="1"/>
    <col min="14086" max="14086" width="15.7109375" style="254" bestFit="1" customWidth="1"/>
    <col min="14087" max="14087" width="14.5703125" style="254" bestFit="1" customWidth="1"/>
    <col min="14088" max="14336" width="9.140625" style="254"/>
    <col min="14337" max="14337" width="8.42578125" style="254" customWidth="1"/>
    <col min="14338" max="14338" width="54.7109375" style="254" customWidth="1"/>
    <col min="14339" max="14339" width="7.85546875" style="254" customWidth="1"/>
    <col min="14340" max="14340" width="10" style="254" customWidth="1"/>
    <col min="14341" max="14341" width="20.5703125" style="254" customWidth="1"/>
    <col min="14342" max="14342" width="15.7109375" style="254" bestFit="1" customWidth="1"/>
    <col min="14343" max="14343" width="14.5703125" style="254" bestFit="1" customWidth="1"/>
    <col min="14344" max="14592" width="9.140625" style="254"/>
    <col min="14593" max="14593" width="8.42578125" style="254" customWidth="1"/>
    <col min="14594" max="14594" width="54.7109375" style="254" customWidth="1"/>
    <col min="14595" max="14595" width="7.85546875" style="254" customWidth="1"/>
    <col min="14596" max="14596" width="10" style="254" customWidth="1"/>
    <col min="14597" max="14597" width="20.5703125" style="254" customWidth="1"/>
    <col min="14598" max="14598" width="15.7109375" style="254" bestFit="1" customWidth="1"/>
    <col min="14599" max="14599" width="14.5703125" style="254" bestFit="1" customWidth="1"/>
    <col min="14600" max="14848" width="9.140625" style="254"/>
    <col min="14849" max="14849" width="8.42578125" style="254" customWidth="1"/>
    <col min="14850" max="14850" width="54.7109375" style="254" customWidth="1"/>
    <col min="14851" max="14851" width="7.85546875" style="254" customWidth="1"/>
    <col min="14852" max="14852" width="10" style="254" customWidth="1"/>
    <col min="14853" max="14853" width="20.5703125" style="254" customWidth="1"/>
    <col min="14854" max="14854" width="15.7109375" style="254" bestFit="1" customWidth="1"/>
    <col min="14855" max="14855" width="14.5703125" style="254" bestFit="1" customWidth="1"/>
    <col min="14856" max="15104" width="9.140625" style="254"/>
    <col min="15105" max="15105" width="8.42578125" style="254" customWidth="1"/>
    <col min="15106" max="15106" width="54.7109375" style="254" customWidth="1"/>
    <col min="15107" max="15107" width="7.85546875" style="254" customWidth="1"/>
    <col min="15108" max="15108" width="10" style="254" customWidth="1"/>
    <col min="15109" max="15109" width="20.5703125" style="254" customWidth="1"/>
    <col min="15110" max="15110" width="15.7109375" style="254" bestFit="1" customWidth="1"/>
    <col min="15111" max="15111" width="14.5703125" style="254" bestFit="1" customWidth="1"/>
    <col min="15112" max="15360" width="9.140625" style="254"/>
    <col min="15361" max="15361" width="8.42578125" style="254" customWidth="1"/>
    <col min="15362" max="15362" width="54.7109375" style="254" customWidth="1"/>
    <col min="15363" max="15363" width="7.85546875" style="254" customWidth="1"/>
    <col min="15364" max="15364" width="10" style="254" customWidth="1"/>
    <col min="15365" max="15365" width="20.5703125" style="254" customWidth="1"/>
    <col min="15366" max="15366" width="15.7109375" style="254" bestFit="1" customWidth="1"/>
    <col min="15367" max="15367" width="14.5703125" style="254" bestFit="1" customWidth="1"/>
    <col min="15368" max="15616" width="9.140625" style="254"/>
    <col min="15617" max="15617" width="8.42578125" style="254" customWidth="1"/>
    <col min="15618" max="15618" width="54.7109375" style="254" customWidth="1"/>
    <col min="15619" max="15619" width="7.85546875" style="254" customWidth="1"/>
    <col min="15620" max="15620" width="10" style="254" customWidth="1"/>
    <col min="15621" max="15621" width="20.5703125" style="254" customWidth="1"/>
    <col min="15622" max="15622" width="15.7109375" style="254" bestFit="1" customWidth="1"/>
    <col min="15623" max="15623" width="14.5703125" style="254" bestFit="1" customWidth="1"/>
    <col min="15624" max="15872" width="9.140625" style="254"/>
    <col min="15873" max="15873" width="8.42578125" style="254" customWidth="1"/>
    <col min="15874" max="15874" width="54.7109375" style="254" customWidth="1"/>
    <col min="15875" max="15875" width="7.85546875" style="254" customWidth="1"/>
    <col min="15876" max="15876" width="10" style="254" customWidth="1"/>
    <col min="15877" max="15877" width="20.5703125" style="254" customWidth="1"/>
    <col min="15878" max="15878" width="15.7109375" style="254" bestFit="1" customWidth="1"/>
    <col min="15879" max="15879" width="14.5703125" style="254" bestFit="1" customWidth="1"/>
    <col min="15880" max="16128" width="9.140625" style="254"/>
    <col min="16129" max="16129" width="8.42578125" style="254" customWidth="1"/>
    <col min="16130" max="16130" width="54.7109375" style="254" customWidth="1"/>
    <col min="16131" max="16131" width="7.85546875" style="254" customWidth="1"/>
    <col min="16132" max="16132" width="10" style="254" customWidth="1"/>
    <col min="16133" max="16133" width="20.5703125" style="254" customWidth="1"/>
    <col min="16134" max="16134" width="15.7109375" style="254" bestFit="1" customWidth="1"/>
    <col min="16135" max="16135" width="14.5703125" style="254" bestFit="1" customWidth="1"/>
    <col min="16136" max="16384" width="9.140625" style="254"/>
  </cols>
  <sheetData>
    <row r="1" spans="1:9" ht="20.100000000000001" customHeight="1" x14ac:dyDescent="0.25">
      <c r="A1" s="251"/>
      <c r="B1" s="251"/>
      <c r="C1" s="251"/>
      <c r="D1" s="330"/>
      <c r="E1" s="252"/>
      <c r="F1" s="252"/>
    </row>
    <row r="2" spans="1:9" ht="20.100000000000001" customHeight="1" x14ac:dyDescent="0.25">
      <c r="A2" s="251"/>
      <c r="B2" s="251"/>
      <c r="C2" s="251"/>
      <c r="D2" s="330"/>
      <c r="E2" s="252"/>
      <c r="F2" s="252"/>
    </row>
    <row r="3" spans="1:9" ht="20.100000000000001" customHeight="1" x14ac:dyDescent="0.25">
      <c r="A3" s="251"/>
      <c r="B3" s="251"/>
      <c r="C3" s="251"/>
      <c r="D3" s="330"/>
      <c r="E3" s="252"/>
      <c r="F3" s="252"/>
    </row>
    <row r="4" spans="1:9" ht="20.100000000000001" customHeight="1" x14ac:dyDescent="0.25">
      <c r="A4" s="255"/>
      <c r="B4" s="251"/>
      <c r="C4" s="251"/>
      <c r="D4" s="330"/>
      <c r="E4" s="252"/>
      <c r="F4" s="252"/>
    </row>
    <row r="5" spans="1:9" ht="20.100000000000001" customHeight="1" x14ac:dyDescent="0.25">
      <c r="A5" s="251"/>
      <c r="B5" s="251"/>
      <c r="C5" s="251"/>
      <c r="D5" s="330"/>
      <c r="E5" s="252"/>
      <c r="F5" s="252"/>
    </row>
    <row r="6" spans="1:9" ht="20.100000000000001" customHeight="1" x14ac:dyDescent="0.25">
      <c r="A6" s="255" t="s">
        <v>278</v>
      </c>
      <c r="B6" s="251"/>
      <c r="C6" s="251"/>
      <c r="D6" s="330"/>
      <c r="E6" s="252"/>
      <c r="F6" s="252"/>
    </row>
    <row r="7" spans="1:9" ht="20.100000000000001" customHeight="1" x14ac:dyDescent="0.25">
      <c r="A7" s="255"/>
      <c r="B7" s="251"/>
      <c r="C7" s="251"/>
      <c r="D7" s="330"/>
      <c r="E7" s="252"/>
      <c r="F7" s="252"/>
    </row>
    <row r="8" spans="1:9" s="100" customFormat="1" x14ac:dyDescent="0.25">
      <c r="C8" s="258"/>
      <c r="D8" s="331"/>
      <c r="E8" s="252"/>
      <c r="F8" s="259"/>
      <c r="G8" s="260"/>
    </row>
    <row r="9" spans="1:9" s="100" customFormat="1" x14ac:dyDescent="0.25">
      <c r="C9" s="258"/>
      <c r="D9" s="331"/>
      <c r="E9" s="252"/>
      <c r="F9" s="259"/>
      <c r="G9" s="260"/>
    </row>
    <row r="10" spans="1:9" s="100" customFormat="1" x14ac:dyDescent="0.25">
      <c r="A10" s="261" t="s">
        <v>480</v>
      </c>
      <c r="B10" s="106"/>
      <c r="C10" s="106"/>
      <c r="D10" s="162"/>
      <c r="E10" s="106"/>
      <c r="F10" s="262"/>
      <c r="G10" s="260"/>
    </row>
    <row r="11" spans="1:9" s="100" customFormat="1" x14ac:dyDescent="0.25">
      <c r="A11" s="261" t="s">
        <v>481</v>
      </c>
      <c r="B11" s="98"/>
      <c r="C11" s="98"/>
      <c r="D11" s="170"/>
      <c r="E11" s="263" t="s">
        <v>283</v>
      </c>
      <c r="F11" s="264"/>
      <c r="G11" s="260"/>
    </row>
    <row r="12" spans="1:9" s="100" customFormat="1" x14ac:dyDescent="0.25">
      <c r="A12" s="98"/>
      <c r="B12" s="98"/>
      <c r="C12" s="98"/>
      <c r="D12" s="170"/>
      <c r="E12" s="265"/>
      <c r="F12" s="266"/>
      <c r="G12" s="260"/>
    </row>
    <row r="13" spans="1:9" s="272" customFormat="1" ht="20.100000000000001" customHeight="1" x14ac:dyDescent="0.25">
      <c r="A13" s="332" t="s">
        <v>1</v>
      </c>
      <c r="B13" s="332" t="s">
        <v>284</v>
      </c>
      <c r="C13" s="332" t="s">
        <v>26</v>
      </c>
      <c r="D13" s="333" t="s">
        <v>285</v>
      </c>
      <c r="E13" s="334" t="s">
        <v>286</v>
      </c>
      <c r="F13" s="335" t="s">
        <v>287</v>
      </c>
      <c r="G13" s="271"/>
      <c r="H13" s="125"/>
      <c r="I13" s="125"/>
    </row>
    <row r="14" spans="1:9" s="272" customFormat="1" ht="20.100000000000001" customHeight="1" x14ac:dyDescent="0.25">
      <c r="A14" s="267" t="s">
        <v>288</v>
      </c>
      <c r="B14" s="273" t="s">
        <v>482</v>
      </c>
      <c r="C14" s="267"/>
      <c r="D14" s="336"/>
      <c r="E14" s="269"/>
      <c r="F14" s="270"/>
      <c r="G14" s="274"/>
      <c r="H14" s="261"/>
      <c r="I14" s="261"/>
    </row>
    <row r="15" spans="1:9" ht="20.100000000000001" customHeight="1" x14ac:dyDescent="0.25">
      <c r="A15" s="61" t="s">
        <v>289</v>
      </c>
      <c r="B15" s="275" t="s">
        <v>290</v>
      </c>
      <c r="C15" s="61" t="s">
        <v>205</v>
      </c>
      <c r="D15" s="337">
        <v>2200</v>
      </c>
      <c r="E15" s="59">
        <f>+G15*H15</f>
        <v>8154.9999999999991</v>
      </c>
      <c r="F15" s="276">
        <f>+E15*D15</f>
        <v>17940999.999999996</v>
      </c>
      <c r="G15" s="253">
        <v>5825</v>
      </c>
      <c r="H15" s="277">
        <v>1.4</v>
      </c>
      <c r="I15" s="277"/>
    </row>
    <row r="16" spans="1:9" ht="20.100000000000001" customHeight="1" x14ac:dyDescent="0.25">
      <c r="A16" s="61" t="s">
        <v>291</v>
      </c>
      <c r="B16" s="275" t="s">
        <v>292</v>
      </c>
      <c r="C16" s="61" t="s">
        <v>205</v>
      </c>
      <c r="D16" s="337">
        <v>2200</v>
      </c>
      <c r="E16" s="59">
        <f t="shared" ref="E16:E79" si="0">+G16*H16</f>
        <v>3465</v>
      </c>
      <c r="F16" s="276">
        <f t="shared" ref="F16:F82" si="1">+E16*D16</f>
        <v>7623000</v>
      </c>
      <c r="G16" s="253">
        <v>2475</v>
      </c>
      <c r="H16" s="277">
        <v>1.4</v>
      </c>
      <c r="I16" s="277"/>
    </row>
    <row r="17" spans="1:9" ht="20.100000000000001" customHeight="1" x14ac:dyDescent="0.25">
      <c r="A17" s="61" t="s">
        <v>293</v>
      </c>
      <c r="B17" s="275" t="s">
        <v>294</v>
      </c>
      <c r="C17" s="61" t="s">
        <v>205</v>
      </c>
      <c r="D17" s="337">
        <v>200</v>
      </c>
      <c r="E17" s="59">
        <f t="shared" si="0"/>
        <v>1351</v>
      </c>
      <c r="F17" s="276">
        <f>+E17*D17</f>
        <v>270200</v>
      </c>
      <c r="G17" s="253">
        <v>965</v>
      </c>
      <c r="H17" s="277">
        <v>1.4</v>
      </c>
      <c r="I17" s="277"/>
    </row>
    <row r="18" spans="1:9" ht="20.100000000000001" customHeight="1" x14ac:dyDescent="0.25">
      <c r="A18" s="61" t="s">
        <v>295</v>
      </c>
      <c r="B18" s="275" t="s">
        <v>296</v>
      </c>
      <c r="C18" s="61" t="s">
        <v>203</v>
      </c>
      <c r="D18" s="337">
        <v>300</v>
      </c>
      <c r="E18" s="59">
        <f t="shared" si="0"/>
        <v>3639.9999999999995</v>
      </c>
      <c r="F18" s="276">
        <f t="shared" si="1"/>
        <v>1091999.9999999998</v>
      </c>
      <c r="G18" s="253">
        <v>2600</v>
      </c>
      <c r="H18" s="277">
        <v>1.4</v>
      </c>
      <c r="I18" s="277"/>
    </row>
    <row r="19" spans="1:9" ht="20.100000000000001" customHeight="1" x14ac:dyDescent="0.25">
      <c r="A19" s="61" t="s">
        <v>297</v>
      </c>
      <c r="B19" s="275" t="s">
        <v>298</v>
      </c>
      <c r="C19" s="61" t="s">
        <v>203</v>
      </c>
      <c r="D19" s="337">
        <v>300</v>
      </c>
      <c r="E19" s="59">
        <f t="shared" si="0"/>
        <v>5691</v>
      </c>
      <c r="F19" s="276">
        <f t="shared" si="1"/>
        <v>1707300</v>
      </c>
      <c r="G19" s="253">
        <v>4065</v>
      </c>
      <c r="H19" s="277">
        <v>1.4</v>
      </c>
      <c r="I19" s="277"/>
    </row>
    <row r="20" spans="1:9" ht="20.100000000000001" customHeight="1" x14ac:dyDescent="0.25">
      <c r="A20" s="61" t="s">
        <v>299</v>
      </c>
      <c r="B20" s="275" t="s">
        <v>218</v>
      </c>
      <c r="C20" s="61" t="s">
        <v>205</v>
      </c>
      <c r="D20" s="337">
        <v>3600</v>
      </c>
      <c r="E20" s="59">
        <f t="shared" si="0"/>
        <v>2100</v>
      </c>
      <c r="F20" s="276">
        <f t="shared" si="1"/>
        <v>7560000</v>
      </c>
      <c r="G20" s="253">
        <v>1500</v>
      </c>
      <c r="H20" s="277">
        <v>1.4</v>
      </c>
      <c r="I20" s="277"/>
    </row>
    <row r="21" spans="1:9" ht="20.100000000000001" customHeight="1" x14ac:dyDescent="0.25">
      <c r="A21" s="61" t="s">
        <v>300</v>
      </c>
      <c r="B21" s="275" t="s">
        <v>202</v>
      </c>
      <c r="C21" s="61" t="s">
        <v>205</v>
      </c>
      <c r="D21" s="337">
        <v>300</v>
      </c>
      <c r="E21" s="59">
        <f t="shared" si="0"/>
        <v>203</v>
      </c>
      <c r="F21" s="276">
        <f t="shared" si="1"/>
        <v>60900</v>
      </c>
      <c r="G21" s="253">
        <v>145</v>
      </c>
      <c r="H21" s="277">
        <v>1.4</v>
      </c>
      <c r="I21" s="277"/>
    </row>
    <row r="22" spans="1:9" ht="20.100000000000001" customHeight="1" x14ac:dyDescent="0.25">
      <c r="A22" s="61" t="s">
        <v>301</v>
      </c>
      <c r="B22" s="275" t="s">
        <v>219</v>
      </c>
      <c r="C22" s="61" t="s">
        <v>203</v>
      </c>
      <c r="D22" s="337">
        <v>50</v>
      </c>
      <c r="E22" s="59">
        <f t="shared" si="0"/>
        <v>11900</v>
      </c>
      <c r="F22" s="276">
        <f t="shared" si="1"/>
        <v>595000</v>
      </c>
      <c r="G22" s="253">
        <v>8500</v>
      </c>
      <c r="H22" s="277">
        <v>1.4</v>
      </c>
      <c r="I22" s="277"/>
    </row>
    <row r="23" spans="1:9" ht="20.100000000000001" customHeight="1" x14ac:dyDescent="0.25">
      <c r="A23" s="61" t="s">
        <v>302</v>
      </c>
      <c r="B23" s="275" t="s">
        <v>220</v>
      </c>
      <c r="C23" s="61" t="s">
        <v>203</v>
      </c>
      <c r="D23" s="337">
        <v>50</v>
      </c>
      <c r="E23" s="59">
        <f t="shared" si="0"/>
        <v>3989.9999999999995</v>
      </c>
      <c r="F23" s="276">
        <f t="shared" si="1"/>
        <v>199499.99999999997</v>
      </c>
      <c r="G23" s="253">
        <v>2850</v>
      </c>
      <c r="H23" s="277">
        <v>1.4</v>
      </c>
      <c r="I23" s="277"/>
    </row>
    <row r="24" spans="1:9" ht="20.100000000000001" customHeight="1" x14ac:dyDescent="0.25">
      <c r="A24" s="61" t="s">
        <v>303</v>
      </c>
      <c r="B24" s="275" t="s">
        <v>304</v>
      </c>
      <c r="C24" s="61" t="s">
        <v>203</v>
      </c>
      <c r="D24" s="337">
        <v>50</v>
      </c>
      <c r="E24" s="59">
        <f t="shared" si="0"/>
        <v>21000</v>
      </c>
      <c r="F24" s="278">
        <f>+D24*E24</f>
        <v>1050000</v>
      </c>
      <c r="G24" s="253">
        <v>15000</v>
      </c>
      <c r="H24" s="277">
        <v>1.4</v>
      </c>
      <c r="I24" s="277"/>
    </row>
    <row r="25" spans="1:9" ht="20.100000000000001" customHeight="1" x14ac:dyDescent="0.25">
      <c r="A25" s="61" t="s">
        <v>305</v>
      </c>
      <c r="B25" s="275" t="s">
        <v>306</v>
      </c>
      <c r="C25" s="61" t="s">
        <v>205</v>
      </c>
      <c r="D25" s="337">
        <v>2200</v>
      </c>
      <c r="E25" s="59">
        <f t="shared" si="0"/>
        <v>17500</v>
      </c>
      <c r="F25" s="278">
        <f t="shared" ref="F25:F28" si="2">+D25*E25</f>
        <v>38500000</v>
      </c>
      <c r="G25" s="253">
        <v>12500</v>
      </c>
      <c r="H25" s="277">
        <v>1.4</v>
      </c>
      <c r="I25" s="277"/>
    </row>
    <row r="26" spans="1:9" ht="20.100000000000001" customHeight="1" x14ac:dyDescent="0.25">
      <c r="A26" s="61" t="s">
        <v>307</v>
      </c>
      <c r="B26" s="275" t="s">
        <v>223</v>
      </c>
      <c r="C26" s="61" t="s">
        <v>205</v>
      </c>
      <c r="D26" s="337">
        <v>300</v>
      </c>
      <c r="E26" s="59">
        <f t="shared" si="0"/>
        <v>2100</v>
      </c>
      <c r="F26" s="278">
        <f t="shared" si="2"/>
        <v>630000</v>
      </c>
      <c r="G26" s="253">
        <v>1500</v>
      </c>
      <c r="H26" s="277">
        <v>1.4</v>
      </c>
      <c r="I26" s="277"/>
    </row>
    <row r="27" spans="1:9" ht="20.100000000000001" customHeight="1" x14ac:dyDescent="0.25">
      <c r="A27" s="61" t="s">
        <v>308</v>
      </c>
      <c r="B27" s="275" t="s">
        <v>309</v>
      </c>
      <c r="C27" s="61" t="s">
        <v>203</v>
      </c>
      <c r="D27" s="337">
        <v>10</v>
      </c>
      <c r="E27" s="59">
        <f t="shared" si="0"/>
        <v>35000</v>
      </c>
      <c r="F27" s="278">
        <f t="shared" si="2"/>
        <v>350000</v>
      </c>
      <c r="G27" s="253">
        <v>25000</v>
      </c>
      <c r="H27" s="277">
        <v>1.4</v>
      </c>
      <c r="I27" s="277"/>
    </row>
    <row r="28" spans="1:9" ht="20.100000000000001" customHeight="1" x14ac:dyDescent="0.25">
      <c r="A28" s="61" t="s">
        <v>310</v>
      </c>
      <c r="B28" s="275" t="s">
        <v>311</v>
      </c>
      <c r="C28" s="61" t="s">
        <v>203</v>
      </c>
      <c r="D28" s="337">
        <v>40</v>
      </c>
      <c r="E28" s="59">
        <f t="shared" si="0"/>
        <v>28000</v>
      </c>
      <c r="F28" s="278">
        <f t="shared" si="2"/>
        <v>1120000</v>
      </c>
      <c r="G28" s="253">
        <v>20000</v>
      </c>
      <c r="H28" s="277">
        <v>1.4</v>
      </c>
      <c r="I28" s="277"/>
    </row>
    <row r="29" spans="1:9" ht="15" customHeight="1" x14ac:dyDescent="0.25">
      <c r="A29" s="61"/>
      <c r="B29" s="275"/>
      <c r="C29" s="61"/>
      <c r="D29" s="337"/>
      <c r="E29" s="59">
        <f t="shared" si="0"/>
        <v>0</v>
      </c>
      <c r="F29" s="278"/>
      <c r="H29" s="277"/>
      <c r="I29" s="277"/>
    </row>
    <row r="30" spans="1:9" s="272" customFormat="1" ht="20.100000000000001" customHeight="1" x14ac:dyDescent="0.25">
      <c r="A30" s="267" t="s">
        <v>312</v>
      </c>
      <c r="B30" s="273" t="s">
        <v>226</v>
      </c>
      <c r="C30" s="267"/>
      <c r="D30" s="336"/>
      <c r="E30" s="59">
        <f t="shared" si="0"/>
        <v>0</v>
      </c>
      <c r="F30" s="276"/>
      <c r="G30" s="274"/>
      <c r="H30" s="277">
        <v>1.4</v>
      </c>
      <c r="I30" s="261"/>
    </row>
    <row r="31" spans="1:9" ht="20.100000000000001" customHeight="1" x14ac:dyDescent="0.25">
      <c r="A31" s="61" t="s">
        <v>313</v>
      </c>
      <c r="B31" s="275" t="s">
        <v>290</v>
      </c>
      <c r="C31" s="61" t="s">
        <v>205</v>
      </c>
      <c r="D31" s="337">
        <v>2000</v>
      </c>
      <c r="E31" s="59">
        <f t="shared" si="0"/>
        <v>6755</v>
      </c>
      <c r="F31" s="276">
        <f t="shared" si="1"/>
        <v>13510000</v>
      </c>
      <c r="G31" s="253">
        <v>4825</v>
      </c>
      <c r="H31" s="277">
        <v>1.4</v>
      </c>
      <c r="I31" s="277"/>
    </row>
    <row r="32" spans="1:9" ht="20.100000000000001" customHeight="1" x14ac:dyDescent="0.25">
      <c r="A32" s="61" t="s">
        <v>314</v>
      </c>
      <c r="B32" s="275" t="s">
        <v>292</v>
      </c>
      <c r="C32" s="61" t="s">
        <v>205</v>
      </c>
      <c r="D32" s="337">
        <v>2000</v>
      </c>
      <c r="E32" s="59">
        <f t="shared" si="0"/>
        <v>3465</v>
      </c>
      <c r="F32" s="276">
        <f t="shared" si="1"/>
        <v>6930000</v>
      </c>
      <c r="G32" s="253">
        <v>2475</v>
      </c>
      <c r="H32" s="277">
        <v>1.4</v>
      </c>
      <c r="I32" s="277"/>
    </row>
    <row r="33" spans="1:9" ht="20.100000000000001" customHeight="1" x14ac:dyDescent="0.25">
      <c r="A33" s="61" t="s">
        <v>315</v>
      </c>
      <c r="B33" s="275" t="s">
        <v>294</v>
      </c>
      <c r="C33" s="61" t="s">
        <v>205</v>
      </c>
      <c r="D33" s="337">
        <v>150</v>
      </c>
      <c r="E33" s="59">
        <f t="shared" si="0"/>
        <v>1351</v>
      </c>
      <c r="F33" s="276">
        <f t="shared" si="1"/>
        <v>202650</v>
      </c>
      <c r="G33" s="253">
        <v>965</v>
      </c>
      <c r="H33" s="277">
        <v>1.4</v>
      </c>
      <c r="I33" s="277"/>
    </row>
    <row r="34" spans="1:9" ht="20.100000000000001" customHeight="1" x14ac:dyDescent="0.25">
      <c r="A34" s="61" t="s">
        <v>316</v>
      </c>
      <c r="B34" s="275" t="s">
        <v>216</v>
      </c>
      <c r="C34" s="61" t="s">
        <v>203</v>
      </c>
      <c r="D34" s="337">
        <v>210</v>
      </c>
      <c r="E34" s="59">
        <f t="shared" si="0"/>
        <v>3639.9999999999995</v>
      </c>
      <c r="F34" s="276">
        <f t="shared" si="1"/>
        <v>764399.99999999988</v>
      </c>
      <c r="G34" s="253">
        <v>2600</v>
      </c>
      <c r="H34" s="277">
        <v>1.4</v>
      </c>
      <c r="I34" s="277"/>
    </row>
    <row r="35" spans="1:9" ht="20.100000000000001" customHeight="1" x14ac:dyDescent="0.25">
      <c r="A35" s="61" t="s">
        <v>317</v>
      </c>
      <c r="B35" s="275" t="s">
        <v>318</v>
      </c>
      <c r="C35" s="61" t="s">
        <v>203</v>
      </c>
      <c r="D35" s="337">
        <v>210</v>
      </c>
      <c r="E35" s="59">
        <f t="shared" si="0"/>
        <v>5691</v>
      </c>
      <c r="F35" s="276">
        <f t="shared" si="1"/>
        <v>1195110</v>
      </c>
      <c r="G35" s="253">
        <v>4065</v>
      </c>
      <c r="H35" s="277">
        <v>1.4</v>
      </c>
      <c r="I35" s="277"/>
    </row>
    <row r="36" spans="1:9" ht="20.100000000000001" customHeight="1" x14ac:dyDescent="0.25">
      <c r="A36" s="61" t="s">
        <v>319</v>
      </c>
      <c r="B36" s="275" t="s">
        <v>218</v>
      </c>
      <c r="C36" s="61" t="s">
        <v>205</v>
      </c>
      <c r="D36" s="337">
        <v>3150</v>
      </c>
      <c r="E36" s="59">
        <f t="shared" si="0"/>
        <v>2100</v>
      </c>
      <c r="F36" s="276">
        <f t="shared" si="1"/>
        <v>6615000</v>
      </c>
      <c r="G36" s="253">
        <v>1500</v>
      </c>
      <c r="H36" s="277">
        <v>1.4</v>
      </c>
      <c r="I36" s="277"/>
    </row>
    <row r="37" spans="1:9" ht="20.100000000000001" customHeight="1" x14ac:dyDescent="0.25">
      <c r="A37" s="61" t="s">
        <v>320</v>
      </c>
      <c r="B37" s="275" t="s">
        <v>202</v>
      </c>
      <c r="C37" s="61" t="s">
        <v>205</v>
      </c>
      <c r="D37" s="337">
        <v>250</v>
      </c>
      <c r="E37" s="59">
        <f t="shared" si="0"/>
        <v>203</v>
      </c>
      <c r="F37" s="276">
        <f t="shared" si="1"/>
        <v>50750</v>
      </c>
      <c r="G37" s="253">
        <v>145</v>
      </c>
      <c r="H37" s="277">
        <v>1.4</v>
      </c>
      <c r="I37" s="277"/>
    </row>
    <row r="38" spans="1:9" ht="20.100000000000001" customHeight="1" x14ac:dyDescent="0.25">
      <c r="A38" s="61" t="s">
        <v>321</v>
      </c>
      <c r="B38" s="275" t="s">
        <v>219</v>
      </c>
      <c r="C38" s="61" t="s">
        <v>203</v>
      </c>
      <c r="D38" s="337">
        <v>41</v>
      </c>
      <c r="E38" s="59">
        <f t="shared" si="0"/>
        <v>11900</v>
      </c>
      <c r="F38" s="276">
        <f t="shared" si="1"/>
        <v>487900</v>
      </c>
      <c r="G38" s="253">
        <v>8500</v>
      </c>
      <c r="H38" s="277">
        <v>1.4</v>
      </c>
      <c r="I38" s="277"/>
    </row>
    <row r="39" spans="1:9" ht="20.100000000000001" customHeight="1" x14ac:dyDescent="0.25">
      <c r="A39" s="61" t="s">
        <v>322</v>
      </c>
      <c r="B39" s="275" t="s">
        <v>220</v>
      </c>
      <c r="C39" s="61" t="s">
        <v>203</v>
      </c>
      <c r="D39" s="337">
        <v>41</v>
      </c>
      <c r="E39" s="59">
        <f t="shared" si="0"/>
        <v>3989.9999999999995</v>
      </c>
      <c r="F39" s="276">
        <f t="shared" si="1"/>
        <v>163589.99999999997</v>
      </c>
      <c r="G39" s="253">
        <v>2850</v>
      </c>
      <c r="H39" s="277">
        <v>1.4</v>
      </c>
      <c r="I39" s="277"/>
    </row>
    <row r="40" spans="1:9" ht="20.100000000000001" customHeight="1" x14ac:dyDescent="0.25">
      <c r="A40" s="61" t="s">
        <v>323</v>
      </c>
      <c r="B40" s="275" t="s">
        <v>304</v>
      </c>
      <c r="C40" s="61" t="s">
        <v>203</v>
      </c>
      <c r="D40" s="337">
        <v>41</v>
      </c>
      <c r="E40" s="59">
        <f t="shared" si="0"/>
        <v>21000</v>
      </c>
      <c r="F40" s="278">
        <f t="shared" ref="F40:F44" si="3">+D40*E40</f>
        <v>861000</v>
      </c>
      <c r="G40" s="253">
        <v>15000</v>
      </c>
      <c r="H40" s="277">
        <v>1.4</v>
      </c>
      <c r="I40" s="277"/>
    </row>
    <row r="41" spans="1:9" ht="20.100000000000001" customHeight="1" x14ac:dyDescent="0.25">
      <c r="A41" s="61" t="s">
        <v>324</v>
      </c>
      <c r="B41" s="275" t="s">
        <v>222</v>
      </c>
      <c r="C41" s="61" t="s">
        <v>205</v>
      </c>
      <c r="D41" s="337">
        <v>1575</v>
      </c>
      <c r="E41" s="59">
        <f t="shared" si="0"/>
        <v>17500</v>
      </c>
      <c r="F41" s="278">
        <f t="shared" si="3"/>
        <v>27562500</v>
      </c>
      <c r="G41" s="253">
        <v>12500</v>
      </c>
      <c r="H41" s="277">
        <v>1.4</v>
      </c>
      <c r="I41" s="277"/>
    </row>
    <row r="42" spans="1:9" ht="20.100000000000001" customHeight="1" x14ac:dyDescent="0.25">
      <c r="A42" s="61" t="s">
        <v>325</v>
      </c>
      <c r="B42" s="275" t="s">
        <v>311</v>
      </c>
      <c r="C42" s="61" t="s">
        <v>203</v>
      </c>
      <c r="D42" s="337">
        <v>41</v>
      </c>
      <c r="E42" s="59">
        <f t="shared" si="0"/>
        <v>35000</v>
      </c>
      <c r="F42" s="278">
        <f t="shared" si="3"/>
        <v>1435000</v>
      </c>
      <c r="G42" s="253">
        <v>25000</v>
      </c>
      <c r="H42" s="277">
        <v>1.4</v>
      </c>
      <c r="I42" s="277"/>
    </row>
    <row r="43" spans="1:9" ht="20.100000000000001" customHeight="1" x14ac:dyDescent="0.25">
      <c r="A43" s="61" t="s">
        <v>326</v>
      </c>
      <c r="B43" s="275" t="s">
        <v>223</v>
      </c>
      <c r="C43" s="61" t="s">
        <v>205</v>
      </c>
      <c r="D43" s="337">
        <v>250</v>
      </c>
      <c r="E43" s="59">
        <f t="shared" si="0"/>
        <v>2100</v>
      </c>
      <c r="F43" s="278">
        <f t="shared" si="3"/>
        <v>525000</v>
      </c>
      <c r="G43" s="253">
        <v>1500</v>
      </c>
      <c r="H43" s="277">
        <v>1.4</v>
      </c>
      <c r="I43" s="277"/>
    </row>
    <row r="44" spans="1:9" ht="20.100000000000001" customHeight="1" x14ac:dyDescent="0.25">
      <c r="A44" s="61" t="s">
        <v>327</v>
      </c>
      <c r="B44" s="275" t="s">
        <v>328</v>
      </c>
      <c r="C44" s="61" t="s">
        <v>329</v>
      </c>
      <c r="D44" s="337">
        <v>20</v>
      </c>
      <c r="E44" s="59">
        <f t="shared" si="0"/>
        <v>133000</v>
      </c>
      <c r="F44" s="278">
        <f t="shared" si="3"/>
        <v>2660000</v>
      </c>
      <c r="G44" s="253">
        <v>95000</v>
      </c>
      <c r="H44" s="277">
        <v>1.4</v>
      </c>
      <c r="I44" s="277"/>
    </row>
    <row r="45" spans="1:9" ht="15" customHeight="1" x14ac:dyDescent="0.25">
      <c r="A45" s="61"/>
      <c r="B45" s="275"/>
      <c r="C45" s="61"/>
      <c r="D45" s="337"/>
      <c r="E45" s="59">
        <f t="shared" si="0"/>
        <v>0</v>
      </c>
      <c r="F45" s="278"/>
      <c r="H45" s="277"/>
      <c r="I45" s="277"/>
    </row>
    <row r="46" spans="1:9" s="272" customFormat="1" ht="20.100000000000001" customHeight="1" x14ac:dyDescent="0.25">
      <c r="A46" s="267" t="s">
        <v>330</v>
      </c>
      <c r="B46" s="273" t="s">
        <v>227</v>
      </c>
      <c r="C46" s="267"/>
      <c r="D46" s="337"/>
      <c r="E46" s="59">
        <f t="shared" si="0"/>
        <v>0</v>
      </c>
      <c r="F46" s="276"/>
      <c r="G46" s="274"/>
      <c r="H46" s="277">
        <v>1.4</v>
      </c>
      <c r="I46" s="261"/>
    </row>
    <row r="47" spans="1:9" ht="20.100000000000001" customHeight="1" x14ac:dyDescent="0.25">
      <c r="A47" s="61" t="s">
        <v>331</v>
      </c>
      <c r="B47" s="275" t="s">
        <v>290</v>
      </c>
      <c r="C47" s="61" t="s">
        <v>205</v>
      </c>
      <c r="D47" s="337">
        <f>1400+500</f>
        <v>1900</v>
      </c>
      <c r="E47" s="59">
        <f t="shared" si="0"/>
        <v>6755</v>
      </c>
      <c r="F47" s="276">
        <f t="shared" si="1"/>
        <v>12834500</v>
      </c>
      <c r="G47" s="253">
        <v>4825</v>
      </c>
      <c r="H47" s="277">
        <v>1.4</v>
      </c>
      <c r="I47" s="277"/>
    </row>
    <row r="48" spans="1:9" ht="20.100000000000001" customHeight="1" x14ac:dyDescent="0.25">
      <c r="A48" s="61" t="s">
        <v>332</v>
      </c>
      <c r="B48" s="275" t="s">
        <v>292</v>
      </c>
      <c r="C48" s="61" t="s">
        <v>205</v>
      </c>
      <c r="D48" s="337">
        <v>1900</v>
      </c>
      <c r="E48" s="59">
        <f t="shared" si="0"/>
        <v>3465</v>
      </c>
      <c r="F48" s="276">
        <f t="shared" si="1"/>
        <v>6583500</v>
      </c>
      <c r="G48" s="253">
        <v>2475</v>
      </c>
      <c r="H48" s="277">
        <v>1.4</v>
      </c>
      <c r="I48" s="277"/>
    </row>
    <row r="49" spans="1:9" ht="20.100000000000001" customHeight="1" x14ac:dyDescent="0.25">
      <c r="A49" s="61" t="s">
        <v>333</v>
      </c>
      <c r="B49" s="275" t="s">
        <v>334</v>
      </c>
      <c r="C49" s="61" t="s">
        <v>205</v>
      </c>
      <c r="D49" s="337">
        <v>150</v>
      </c>
      <c r="E49" s="59">
        <f t="shared" si="0"/>
        <v>1351</v>
      </c>
      <c r="F49" s="276">
        <f t="shared" si="1"/>
        <v>202650</v>
      </c>
      <c r="G49" s="253">
        <v>965</v>
      </c>
      <c r="H49" s="277">
        <v>1.4</v>
      </c>
      <c r="I49" s="277"/>
    </row>
    <row r="50" spans="1:9" ht="20.100000000000001" customHeight="1" x14ac:dyDescent="0.25">
      <c r="A50" s="61" t="s">
        <v>335</v>
      </c>
      <c r="B50" s="275" t="s">
        <v>216</v>
      </c>
      <c r="C50" s="61" t="s">
        <v>203</v>
      </c>
      <c r="D50" s="337">
        <v>210</v>
      </c>
      <c r="E50" s="59">
        <f t="shared" si="0"/>
        <v>3639.9999999999995</v>
      </c>
      <c r="F50" s="276">
        <f t="shared" si="1"/>
        <v>764399.99999999988</v>
      </c>
      <c r="G50" s="253">
        <v>2600</v>
      </c>
      <c r="H50" s="277">
        <v>1.4</v>
      </c>
      <c r="I50" s="277"/>
    </row>
    <row r="51" spans="1:9" ht="20.100000000000001" customHeight="1" x14ac:dyDescent="0.25">
      <c r="A51" s="61" t="s">
        <v>336</v>
      </c>
      <c r="B51" s="275" t="s">
        <v>298</v>
      </c>
      <c r="C51" s="61" t="s">
        <v>203</v>
      </c>
      <c r="D51" s="337">
        <v>210</v>
      </c>
      <c r="E51" s="59">
        <f t="shared" si="0"/>
        <v>5691</v>
      </c>
      <c r="F51" s="276">
        <f t="shared" si="1"/>
        <v>1195110</v>
      </c>
      <c r="G51" s="253">
        <v>4065</v>
      </c>
      <c r="H51" s="277">
        <v>1.4</v>
      </c>
      <c r="I51" s="277"/>
    </row>
    <row r="52" spans="1:9" ht="20.100000000000001" customHeight="1" x14ac:dyDescent="0.25">
      <c r="A52" s="61" t="s">
        <v>337</v>
      </c>
      <c r="B52" s="275" t="s">
        <v>218</v>
      </c>
      <c r="C52" s="61" t="s">
        <v>205</v>
      </c>
      <c r="D52" s="337">
        <v>3150</v>
      </c>
      <c r="E52" s="59">
        <f t="shared" si="0"/>
        <v>2100</v>
      </c>
      <c r="F52" s="276">
        <f t="shared" si="1"/>
        <v>6615000</v>
      </c>
      <c r="G52" s="253">
        <v>1500</v>
      </c>
      <c r="H52" s="277">
        <v>1.4</v>
      </c>
      <c r="I52" s="277"/>
    </row>
    <row r="53" spans="1:9" ht="20.100000000000001" customHeight="1" x14ac:dyDescent="0.25">
      <c r="A53" s="61" t="s">
        <v>338</v>
      </c>
      <c r="B53" s="275" t="s">
        <v>202</v>
      </c>
      <c r="C53" s="61" t="s">
        <v>205</v>
      </c>
      <c r="D53" s="337">
        <v>500</v>
      </c>
      <c r="E53" s="59">
        <f t="shared" si="0"/>
        <v>203</v>
      </c>
      <c r="F53" s="276">
        <f t="shared" si="1"/>
        <v>101500</v>
      </c>
      <c r="G53" s="253">
        <v>145</v>
      </c>
      <c r="H53" s="277">
        <v>1.4</v>
      </c>
      <c r="I53" s="277"/>
    </row>
    <row r="54" spans="1:9" ht="20.100000000000001" customHeight="1" x14ac:dyDescent="0.25">
      <c r="A54" s="61" t="s">
        <v>339</v>
      </c>
      <c r="B54" s="275" t="s">
        <v>219</v>
      </c>
      <c r="C54" s="61" t="s">
        <v>203</v>
      </c>
      <c r="D54" s="337">
        <v>16</v>
      </c>
      <c r="E54" s="59">
        <f t="shared" si="0"/>
        <v>11900</v>
      </c>
      <c r="F54" s="276">
        <f t="shared" si="1"/>
        <v>190400</v>
      </c>
      <c r="G54" s="253">
        <v>8500</v>
      </c>
      <c r="H54" s="277">
        <v>1.4</v>
      </c>
      <c r="I54" s="277"/>
    </row>
    <row r="55" spans="1:9" ht="20.100000000000001" customHeight="1" x14ac:dyDescent="0.25">
      <c r="A55" s="61" t="s">
        <v>340</v>
      </c>
      <c r="B55" s="275" t="s">
        <v>220</v>
      </c>
      <c r="C55" s="61" t="s">
        <v>203</v>
      </c>
      <c r="D55" s="337">
        <v>16</v>
      </c>
      <c r="E55" s="59">
        <f t="shared" si="0"/>
        <v>3989.9999999999995</v>
      </c>
      <c r="F55" s="276">
        <f t="shared" si="1"/>
        <v>63839.999999999993</v>
      </c>
      <c r="G55" s="253">
        <v>2850</v>
      </c>
      <c r="H55" s="277">
        <v>1.4</v>
      </c>
      <c r="I55" s="277"/>
    </row>
    <row r="56" spans="1:9" ht="20.100000000000001" customHeight="1" x14ac:dyDescent="0.25">
      <c r="A56" s="61" t="s">
        <v>341</v>
      </c>
      <c r="B56" s="275" t="s">
        <v>304</v>
      </c>
      <c r="C56" s="61" t="s">
        <v>203</v>
      </c>
      <c r="D56" s="337">
        <v>16</v>
      </c>
      <c r="E56" s="59">
        <f t="shared" si="0"/>
        <v>17500</v>
      </c>
      <c r="F56" s="278">
        <f t="shared" ref="F56:F60" si="4">+D56*E56</f>
        <v>280000</v>
      </c>
      <c r="G56" s="253">
        <v>12500</v>
      </c>
      <c r="H56" s="277">
        <v>1.4</v>
      </c>
      <c r="I56" s="277"/>
    </row>
    <row r="57" spans="1:9" ht="20.100000000000001" customHeight="1" x14ac:dyDescent="0.25">
      <c r="A57" s="61" t="s">
        <v>342</v>
      </c>
      <c r="B57" s="275" t="s">
        <v>222</v>
      </c>
      <c r="C57" s="61" t="s">
        <v>205</v>
      </c>
      <c r="D57" s="337">
        <v>700</v>
      </c>
      <c r="E57" s="59">
        <f t="shared" si="0"/>
        <v>17500</v>
      </c>
      <c r="F57" s="278">
        <f t="shared" si="4"/>
        <v>12250000</v>
      </c>
      <c r="G57" s="253">
        <v>12500</v>
      </c>
      <c r="H57" s="277">
        <v>1.4</v>
      </c>
      <c r="I57" s="277"/>
    </row>
    <row r="58" spans="1:9" ht="20.100000000000001" customHeight="1" x14ac:dyDescent="0.25">
      <c r="A58" s="61" t="s">
        <v>343</v>
      </c>
      <c r="B58" s="275" t="s">
        <v>223</v>
      </c>
      <c r="C58" s="61" t="s">
        <v>205</v>
      </c>
      <c r="D58" s="337">
        <v>500</v>
      </c>
      <c r="E58" s="59">
        <f t="shared" si="0"/>
        <v>2100</v>
      </c>
      <c r="F58" s="278">
        <f t="shared" si="4"/>
        <v>1050000</v>
      </c>
      <c r="G58" s="253">
        <v>1500</v>
      </c>
      <c r="H58" s="277">
        <v>1.4</v>
      </c>
      <c r="I58" s="277"/>
    </row>
    <row r="59" spans="1:9" ht="20.100000000000001" customHeight="1" x14ac:dyDescent="0.25">
      <c r="A59" s="61" t="s">
        <v>344</v>
      </c>
      <c r="B59" s="275" t="s">
        <v>311</v>
      </c>
      <c r="C59" s="61" t="s">
        <v>203</v>
      </c>
      <c r="D59" s="337">
        <v>16</v>
      </c>
      <c r="E59" s="59">
        <f t="shared" si="0"/>
        <v>35000</v>
      </c>
      <c r="F59" s="278">
        <f t="shared" si="4"/>
        <v>560000</v>
      </c>
      <c r="G59" s="253">
        <v>25000</v>
      </c>
      <c r="H59" s="277">
        <v>1.4</v>
      </c>
      <c r="I59" s="277"/>
    </row>
    <row r="60" spans="1:9" ht="20.100000000000001" customHeight="1" x14ac:dyDescent="0.25">
      <c r="A60" s="61" t="s">
        <v>345</v>
      </c>
      <c r="B60" s="275" t="s">
        <v>328</v>
      </c>
      <c r="C60" s="61" t="s">
        <v>329</v>
      </c>
      <c r="D60" s="337">
        <v>20</v>
      </c>
      <c r="E60" s="59">
        <f t="shared" si="0"/>
        <v>133000</v>
      </c>
      <c r="F60" s="278">
        <f t="shared" si="4"/>
        <v>2660000</v>
      </c>
      <c r="G60" s="253">
        <v>95000</v>
      </c>
      <c r="H60" s="277">
        <v>1.4</v>
      </c>
      <c r="I60" s="277"/>
    </row>
    <row r="61" spans="1:9" ht="15" customHeight="1" x14ac:dyDescent="0.25">
      <c r="A61" s="61"/>
      <c r="B61" s="275"/>
      <c r="C61" s="61"/>
      <c r="D61" s="337"/>
      <c r="E61" s="59">
        <f t="shared" si="0"/>
        <v>0</v>
      </c>
      <c r="F61" s="278"/>
      <c r="H61" s="277"/>
      <c r="I61" s="277"/>
    </row>
    <row r="62" spans="1:9" s="272" customFormat="1" ht="20.100000000000001" customHeight="1" x14ac:dyDescent="0.25">
      <c r="A62" s="267" t="s">
        <v>346</v>
      </c>
      <c r="B62" s="273" t="s">
        <v>262</v>
      </c>
      <c r="C62" s="267"/>
      <c r="D62" s="336"/>
      <c r="E62" s="59">
        <f t="shared" si="0"/>
        <v>0</v>
      </c>
      <c r="F62" s="276"/>
      <c r="G62" s="274"/>
      <c r="H62" s="277"/>
      <c r="I62" s="261"/>
    </row>
    <row r="63" spans="1:9" ht="20.100000000000001" customHeight="1" x14ac:dyDescent="0.25">
      <c r="A63" s="61" t="s">
        <v>347</v>
      </c>
      <c r="B63" s="275" t="s">
        <v>292</v>
      </c>
      <c r="C63" s="61" t="s">
        <v>205</v>
      </c>
      <c r="D63" s="337">
        <v>200</v>
      </c>
      <c r="E63" s="59">
        <f t="shared" si="0"/>
        <v>3465</v>
      </c>
      <c r="F63" s="276">
        <f t="shared" si="1"/>
        <v>693000</v>
      </c>
      <c r="G63" s="253">
        <v>2475</v>
      </c>
      <c r="H63" s="277">
        <v>1.4</v>
      </c>
      <c r="I63" s="277"/>
    </row>
    <row r="64" spans="1:9" ht="20.100000000000001" customHeight="1" x14ac:dyDescent="0.25">
      <c r="A64" s="61" t="s">
        <v>348</v>
      </c>
      <c r="B64" s="275" t="s">
        <v>229</v>
      </c>
      <c r="C64" s="61" t="s">
        <v>203</v>
      </c>
      <c r="D64" s="337">
        <v>9</v>
      </c>
      <c r="E64" s="59">
        <f t="shared" si="0"/>
        <v>29283.8</v>
      </c>
      <c r="F64" s="276">
        <f t="shared" si="1"/>
        <v>263554.2</v>
      </c>
      <c r="G64" s="253">
        <v>20917</v>
      </c>
      <c r="H64" s="277">
        <v>1.4</v>
      </c>
      <c r="I64" s="277"/>
    </row>
    <row r="65" spans="1:9" ht="20.100000000000001" customHeight="1" x14ac:dyDescent="0.25">
      <c r="A65" s="61" t="s">
        <v>349</v>
      </c>
      <c r="B65" s="275" t="s">
        <v>350</v>
      </c>
      <c r="C65" s="61" t="s">
        <v>205</v>
      </c>
      <c r="D65" s="337">
        <v>9</v>
      </c>
      <c r="E65" s="59">
        <f t="shared" si="0"/>
        <v>6888</v>
      </c>
      <c r="F65" s="276">
        <f t="shared" si="1"/>
        <v>61992</v>
      </c>
      <c r="G65" s="253">
        <v>4920</v>
      </c>
      <c r="H65" s="277">
        <v>1.4</v>
      </c>
      <c r="I65" s="277"/>
    </row>
    <row r="66" spans="1:9" ht="20.100000000000001" customHeight="1" x14ac:dyDescent="0.25">
      <c r="A66" s="61" t="s">
        <v>351</v>
      </c>
      <c r="B66" s="275" t="s">
        <v>231</v>
      </c>
      <c r="C66" s="61" t="s">
        <v>203</v>
      </c>
      <c r="D66" s="337">
        <v>2</v>
      </c>
      <c r="E66" s="59">
        <f t="shared" si="0"/>
        <v>4900</v>
      </c>
      <c r="F66" s="276">
        <f t="shared" si="1"/>
        <v>9800</v>
      </c>
      <c r="G66" s="253">
        <v>3500</v>
      </c>
      <c r="H66" s="277">
        <v>1.4</v>
      </c>
      <c r="I66" s="277"/>
    </row>
    <row r="67" spans="1:9" ht="20.100000000000001" customHeight="1" x14ac:dyDescent="0.25">
      <c r="A67" s="61" t="s">
        <v>352</v>
      </c>
      <c r="B67" s="275" t="s">
        <v>232</v>
      </c>
      <c r="C67" s="61" t="s">
        <v>203</v>
      </c>
      <c r="D67" s="337">
        <v>1</v>
      </c>
      <c r="E67" s="59">
        <f t="shared" si="0"/>
        <v>9734.1999999999989</v>
      </c>
      <c r="F67" s="276">
        <f t="shared" si="1"/>
        <v>9734.1999999999989</v>
      </c>
      <c r="G67" s="253">
        <v>6953</v>
      </c>
      <c r="H67" s="277">
        <v>1.4</v>
      </c>
      <c r="I67" s="277"/>
    </row>
    <row r="68" spans="1:9" ht="20.100000000000001" customHeight="1" x14ac:dyDescent="0.25">
      <c r="A68" s="61" t="s">
        <v>353</v>
      </c>
      <c r="B68" s="275" t="s">
        <v>233</v>
      </c>
      <c r="C68" s="61" t="s">
        <v>203</v>
      </c>
      <c r="D68" s="337">
        <v>1</v>
      </c>
      <c r="E68" s="59">
        <f t="shared" si="0"/>
        <v>9734.1999999999989</v>
      </c>
      <c r="F68" s="276">
        <f t="shared" si="1"/>
        <v>9734.1999999999989</v>
      </c>
      <c r="G68" s="253">
        <v>6953</v>
      </c>
      <c r="H68" s="277">
        <v>1.4</v>
      </c>
      <c r="I68" s="277"/>
    </row>
    <row r="69" spans="1:9" ht="20.100000000000001" customHeight="1" x14ac:dyDescent="0.25">
      <c r="A69" s="61" t="s">
        <v>354</v>
      </c>
      <c r="B69" s="275" t="s">
        <v>234</v>
      </c>
      <c r="C69" s="61" t="s">
        <v>203</v>
      </c>
      <c r="D69" s="337">
        <v>6</v>
      </c>
      <c r="E69" s="59">
        <f t="shared" si="0"/>
        <v>3500</v>
      </c>
      <c r="F69" s="276">
        <f t="shared" si="1"/>
        <v>21000</v>
      </c>
      <c r="G69" s="253">
        <v>2500</v>
      </c>
      <c r="H69" s="277">
        <v>1.4</v>
      </c>
      <c r="I69" s="277"/>
    </row>
    <row r="70" spans="1:9" ht="20.100000000000001" customHeight="1" x14ac:dyDescent="0.25">
      <c r="A70" s="61" t="s">
        <v>355</v>
      </c>
      <c r="B70" s="275" t="s">
        <v>235</v>
      </c>
      <c r="C70" s="61" t="s">
        <v>203</v>
      </c>
      <c r="D70" s="337">
        <v>3</v>
      </c>
      <c r="E70" s="59">
        <f t="shared" si="0"/>
        <v>173250</v>
      </c>
      <c r="F70" s="276">
        <f t="shared" si="1"/>
        <v>519750</v>
      </c>
      <c r="G70" s="253">
        <v>123750</v>
      </c>
      <c r="H70" s="277">
        <v>1.4</v>
      </c>
      <c r="I70" s="277"/>
    </row>
    <row r="71" spans="1:9" ht="20.100000000000001" customHeight="1" x14ac:dyDescent="0.25">
      <c r="A71" s="61" t="s">
        <v>356</v>
      </c>
      <c r="B71" s="275" t="s">
        <v>357</v>
      </c>
      <c r="C71" s="61" t="s">
        <v>203</v>
      </c>
      <c r="D71" s="337">
        <v>2</v>
      </c>
      <c r="E71" s="59">
        <f t="shared" si="0"/>
        <v>130429.59999999999</v>
      </c>
      <c r="F71" s="276">
        <f t="shared" si="1"/>
        <v>260859.19999999998</v>
      </c>
      <c r="G71" s="253">
        <v>93164</v>
      </c>
      <c r="H71" s="277">
        <v>1.4</v>
      </c>
      <c r="I71" s="277"/>
    </row>
    <row r="72" spans="1:9" ht="20.100000000000001" customHeight="1" x14ac:dyDescent="0.25">
      <c r="A72" s="61" t="s">
        <v>358</v>
      </c>
      <c r="B72" s="275" t="s">
        <v>237</v>
      </c>
      <c r="C72" s="61" t="s">
        <v>203</v>
      </c>
      <c r="D72" s="337">
        <v>6</v>
      </c>
      <c r="E72" s="59">
        <f t="shared" si="0"/>
        <v>29598.799999999999</v>
      </c>
      <c r="F72" s="276">
        <f t="shared" si="1"/>
        <v>177592.8</v>
      </c>
      <c r="G72" s="253">
        <v>21142</v>
      </c>
      <c r="H72" s="277">
        <v>1.4</v>
      </c>
      <c r="I72" s="277"/>
    </row>
    <row r="73" spans="1:9" ht="20.100000000000001" customHeight="1" x14ac:dyDescent="0.25">
      <c r="A73" s="61" t="s">
        <v>359</v>
      </c>
      <c r="B73" s="275" t="s">
        <v>238</v>
      </c>
      <c r="C73" s="61" t="s">
        <v>203</v>
      </c>
      <c r="D73" s="337">
        <v>2</v>
      </c>
      <c r="E73" s="59">
        <f t="shared" si="0"/>
        <v>53579.399999999994</v>
      </c>
      <c r="F73" s="276">
        <f t="shared" si="1"/>
        <v>107158.79999999999</v>
      </c>
      <c r="G73" s="253">
        <v>38271</v>
      </c>
      <c r="H73" s="277">
        <v>1.4</v>
      </c>
      <c r="I73" s="277"/>
    </row>
    <row r="74" spans="1:9" ht="20.100000000000001" customHeight="1" x14ac:dyDescent="0.25">
      <c r="A74" s="61" t="s">
        <v>360</v>
      </c>
      <c r="B74" s="275" t="s">
        <v>239</v>
      </c>
      <c r="C74" s="61" t="s">
        <v>203</v>
      </c>
      <c r="D74" s="337">
        <v>2</v>
      </c>
      <c r="E74" s="59">
        <f t="shared" si="0"/>
        <v>43926.399999999994</v>
      </c>
      <c r="F74" s="276">
        <f t="shared" si="1"/>
        <v>87852.799999999988</v>
      </c>
      <c r="G74" s="253">
        <v>31376</v>
      </c>
      <c r="H74" s="277">
        <v>1.4</v>
      </c>
      <c r="I74" s="277"/>
    </row>
    <row r="75" spans="1:9" ht="20.100000000000001" customHeight="1" x14ac:dyDescent="0.25">
      <c r="A75" s="61" t="s">
        <v>361</v>
      </c>
      <c r="B75" s="275" t="s">
        <v>240</v>
      </c>
      <c r="C75" s="61" t="s">
        <v>203</v>
      </c>
      <c r="D75" s="337">
        <v>2</v>
      </c>
      <c r="E75" s="59">
        <f t="shared" si="0"/>
        <v>24570</v>
      </c>
      <c r="F75" s="276">
        <f t="shared" si="1"/>
        <v>49140</v>
      </c>
      <c r="G75" s="253">
        <v>17550</v>
      </c>
      <c r="H75" s="277">
        <v>1.4</v>
      </c>
      <c r="I75" s="277"/>
    </row>
    <row r="76" spans="1:9" ht="20.100000000000001" customHeight="1" x14ac:dyDescent="0.25">
      <c r="A76" s="61" t="s">
        <v>362</v>
      </c>
      <c r="B76" s="275" t="s">
        <v>363</v>
      </c>
      <c r="C76" s="61" t="s">
        <v>203</v>
      </c>
      <c r="D76" s="337">
        <v>2</v>
      </c>
      <c r="E76" s="59">
        <f t="shared" si="0"/>
        <v>160616.4</v>
      </c>
      <c r="F76" s="276">
        <f t="shared" si="1"/>
        <v>321232.8</v>
      </c>
      <c r="G76" s="253">
        <v>114726</v>
      </c>
      <c r="H76" s="277">
        <v>1.4</v>
      </c>
      <c r="I76" s="277"/>
    </row>
    <row r="77" spans="1:9" ht="20.100000000000001" customHeight="1" x14ac:dyDescent="0.25">
      <c r="A77" s="61" t="s">
        <v>364</v>
      </c>
      <c r="B77" s="275" t="s">
        <v>242</v>
      </c>
      <c r="C77" s="61" t="s">
        <v>205</v>
      </c>
      <c r="D77" s="337">
        <v>50</v>
      </c>
      <c r="E77" s="59">
        <f t="shared" si="0"/>
        <v>5833.7999999999993</v>
      </c>
      <c r="F77" s="276">
        <f t="shared" si="1"/>
        <v>291689.99999999994</v>
      </c>
      <c r="G77" s="253">
        <v>4167</v>
      </c>
      <c r="H77" s="277">
        <v>1.4</v>
      </c>
      <c r="I77" s="277"/>
    </row>
    <row r="78" spans="1:9" ht="20.100000000000001" customHeight="1" x14ac:dyDescent="0.25">
      <c r="A78" s="61" t="s">
        <v>365</v>
      </c>
      <c r="B78" s="275" t="s">
        <v>243</v>
      </c>
      <c r="C78" s="61" t="s">
        <v>205</v>
      </c>
      <c r="D78" s="337">
        <v>20</v>
      </c>
      <c r="E78" s="59">
        <f t="shared" si="0"/>
        <v>5833.7999999999993</v>
      </c>
      <c r="F78" s="276">
        <f t="shared" si="1"/>
        <v>116675.99999999999</v>
      </c>
      <c r="G78" s="253">
        <v>4167</v>
      </c>
      <c r="H78" s="277">
        <v>1.4</v>
      </c>
      <c r="I78" s="277"/>
    </row>
    <row r="79" spans="1:9" ht="20.100000000000001" customHeight="1" x14ac:dyDescent="0.25">
      <c r="A79" s="61" t="s">
        <v>366</v>
      </c>
      <c r="B79" s="275" t="s">
        <v>244</v>
      </c>
      <c r="C79" s="61" t="s">
        <v>205</v>
      </c>
      <c r="D79" s="337">
        <v>50</v>
      </c>
      <c r="E79" s="59">
        <f t="shared" si="0"/>
        <v>4963</v>
      </c>
      <c r="F79" s="276">
        <f t="shared" si="1"/>
        <v>248150</v>
      </c>
      <c r="G79" s="253">
        <v>3545</v>
      </c>
      <c r="H79" s="277">
        <v>1.4</v>
      </c>
      <c r="I79" s="277"/>
    </row>
    <row r="80" spans="1:9" ht="20.100000000000001" customHeight="1" x14ac:dyDescent="0.25">
      <c r="A80" s="61" t="s">
        <v>367</v>
      </c>
      <c r="B80" s="275" t="s">
        <v>245</v>
      </c>
      <c r="C80" s="61" t="s">
        <v>205</v>
      </c>
      <c r="D80" s="337">
        <v>15</v>
      </c>
      <c r="E80" s="59">
        <f t="shared" ref="E80:E143" si="5">+G80*H80</f>
        <v>4725</v>
      </c>
      <c r="F80" s="276">
        <f t="shared" si="1"/>
        <v>70875</v>
      </c>
      <c r="G80" s="253">
        <v>3375</v>
      </c>
      <c r="H80" s="277">
        <v>1.4</v>
      </c>
      <c r="I80" s="277"/>
    </row>
    <row r="81" spans="1:9" ht="20.100000000000001" customHeight="1" x14ac:dyDescent="0.25">
      <c r="A81" s="61" t="s">
        <v>368</v>
      </c>
      <c r="B81" s="275" t="s">
        <v>246</v>
      </c>
      <c r="C81" s="61" t="s">
        <v>205</v>
      </c>
      <c r="D81" s="337">
        <v>15</v>
      </c>
      <c r="E81" s="59">
        <f t="shared" si="5"/>
        <v>743.4</v>
      </c>
      <c r="F81" s="276">
        <f t="shared" si="1"/>
        <v>11151</v>
      </c>
      <c r="G81" s="253">
        <v>531</v>
      </c>
      <c r="H81" s="277">
        <v>1.4</v>
      </c>
      <c r="I81" s="277"/>
    </row>
    <row r="82" spans="1:9" ht="20.100000000000001" customHeight="1" x14ac:dyDescent="0.25">
      <c r="A82" s="61" t="s">
        <v>369</v>
      </c>
      <c r="B82" s="275" t="s">
        <v>247</v>
      </c>
      <c r="C82" s="61" t="s">
        <v>205</v>
      </c>
      <c r="D82" s="337">
        <v>10</v>
      </c>
      <c r="E82" s="59">
        <f t="shared" si="5"/>
        <v>743.4</v>
      </c>
      <c r="F82" s="276">
        <f t="shared" si="1"/>
        <v>7434</v>
      </c>
      <c r="G82" s="253">
        <v>531</v>
      </c>
      <c r="H82" s="277">
        <v>1.4</v>
      </c>
      <c r="I82" s="277"/>
    </row>
    <row r="83" spans="1:9" ht="20.100000000000001" customHeight="1" x14ac:dyDescent="0.25">
      <c r="A83" s="61" t="s">
        <v>370</v>
      </c>
      <c r="B83" s="275" t="s">
        <v>248</v>
      </c>
      <c r="C83" s="61" t="s">
        <v>205</v>
      </c>
      <c r="D83" s="337">
        <v>1</v>
      </c>
      <c r="E83" s="59">
        <f t="shared" si="5"/>
        <v>2409.3999999999996</v>
      </c>
      <c r="F83" s="276">
        <f t="shared" ref="F83:F151" si="6">+E83*D83</f>
        <v>2409.3999999999996</v>
      </c>
      <c r="G83" s="253">
        <v>1721</v>
      </c>
      <c r="H83" s="277">
        <v>1.4</v>
      </c>
      <c r="I83" s="277"/>
    </row>
    <row r="84" spans="1:9" ht="20.100000000000001" customHeight="1" x14ac:dyDescent="0.25">
      <c r="A84" s="61" t="s">
        <v>371</v>
      </c>
      <c r="B84" s="275" t="s">
        <v>249</v>
      </c>
      <c r="C84" s="61" t="s">
        <v>203</v>
      </c>
      <c r="D84" s="337">
        <v>200</v>
      </c>
      <c r="E84" s="59">
        <f t="shared" si="5"/>
        <v>133</v>
      </c>
      <c r="F84" s="276">
        <f t="shared" si="6"/>
        <v>26600</v>
      </c>
      <c r="G84" s="253">
        <v>95</v>
      </c>
      <c r="H84" s="277">
        <v>1.4</v>
      </c>
      <c r="I84" s="277"/>
    </row>
    <row r="85" spans="1:9" ht="20.100000000000001" customHeight="1" x14ac:dyDescent="0.25">
      <c r="A85" s="61" t="s">
        <v>372</v>
      </c>
      <c r="B85" s="275" t="s">
        <v>250</v>
      </c>
      <c r="C85" s="61" t="s">
        <v>203</v>
      </c>
      <c r="D85" s="337">
        <v>200</v>
      </c>
      <c r="E85" s="59">
        <f t="shared" si="5"/>
        <v>116.19999999999999</v>
      </c>
      <c r="F85" s="276">
        <f t="shared" si="6"/>
        <v>23239.999999999996</v>
      </c>
      <c r="G85" s="253">
        <v>83</v>
      </c>
      <c r="H85" s="277">
        <v>1.4</v>
      </c>
      <c r="I85" s="277"/>
    </row>
    <row r="86" spans="1:9" ht="20.100000000000001" customHeight="1" x14ac:dyDescent="0.25">
      <c r="A86" s="61" t="s">
        <v>373</v>
      </c>
      <c r="B86" s="275" t="s">
        <v>251</v>
      </c>
      <c r="C86" s="61" t="s">
        <v>203</v>
      </c>
      <c r="D86" s="337">
        <v>25</v>
      </c>
      <c r="E86" s="59">
        <f t="shared" si="5"/>
        <v>62.999999999999993</v>
      </c>
      <c r="F86" s="276">
        <f t="shared" si="6"/>
        <v>1574.9999999999998</v>
      </c>
      <c r="G86" s="253">
        <v>45</v>
      </c>
      <c r="H86" s="277">
        <v>1.4</v>
      </c>
      <c r="I86" s="277"/>
    </row>
    <row r="87" spans="1:9" ht="20.100000000000001" customHeight="1" x14ac:dyDescent="0.25">
      <c r="A87" s="61" t="s">
        <v>374</v>
      </c>
      <c r="B87" s="275" t="s">
        <v>252</v>
      </c>
      <c r="C87" s="61" t="s">
        <v>203</v>
      </c>
      <c r="D87" s="337">
        <v>100</v>
      </c>
      <c r="E87" s="59">
        <f t="shared" si="5"/>
        <v>53.199999999999996</v>
      </c>
      <c r="F87" s="276">
        <f t="shared" si="6"/>
        <v>5320</v>
      </c>
      <c r="G87" s="253">
        <v>38</v>
      </c>
      <c r="H87" s="277">
        <v>1.4</v>
      </c>
      <c r="I87" s="277"/>
    </row>
    <row r="88" spans="1:9" ht="20.100000000000001" customHeight="1" x14ac:dyDescent="0.25">
      <c r="A88" s="61" t="s">
        <v>375</v>
      </c>
      <c r="B88" s="275" t="s">
        <v>253</v>
      </c>
      <c r="C88" s="61" t="s">
        <v>203</v>
      </c>
      <c r="D88" s="337">
        <v>10</v>
      </c>
      <c r="E88" s="59">
        <f t="shared" si="5"/>
        <v>15839.599999999999</v>
      </c>
      <c r="F88" s="276">
        <f t="shared" si="6"/>
        <v>158396</v>
      </c>
      <c r="G88" s="253">
        <v>11314</v>
      </c>
      <c r="H88" s="277">
        <v>1.4</v>
      </c>
      <c r="I88" s="277"/>
    </row>
    <row r="89" spans="1:9" ht="20.100000000000001" customHeight="1" x14ac:dyDescent="0.25">
      <c r="A89" s="61" t="s">
        <v>376</v>
      </c>
      <c r="B89" s="275" t="s">
        <v>254</v>
      </c>
      <c r="C89" s="61" t="s">
        <v>203</v>
      </c>
      <c r="D89" s="337">
        <v>35</v>
      </c>
      <c r="E89" s="59">
        <f t="shared" si="5"/>
        <v>3465</v>
      </c>
      <c r="F89" s="276">
        <f t="shared" si="6"/>
        <v>121275</v>
      </c>
      <c r="G89" s="253">
        <v>2475</v>
      </c>
      <c r="H89" s="277">
        <v>1.4</v>
      </c>
      <c r="I89" s="277"/>
    </row>
    <row r="90" spans="1:9" ht="20.100000000000001" customHeight="1" x14ac:dyDescent="0.25">
      <c r="A90" s="61" t="s">
        <v>377</v>
      </c>
      <c r="B90" s="275" t="s">
        <v>255</v>
      </c>
      <c r="C90" s="61" t="s">
        <v>203</v>
      </c>
      <c r="D90" s="337">
        <v>1</v>
      </c>
      <c r="E90" s="59">
        <f t="shared" si="5"/>
        <v>27300</v>
      </c>
      <c r="F90" s="276">
        <f t="shared" si="6"/>
        <v>27300</v>
      </c>
      <c r="G90" s="253">
        <v>19500</v>
      </c>
      <c r="H90" s="277">
        <v>1.4</v>
      </c>
      <c r="I90" s="277"/>
    </row>
    <row r="91" spans="1:9" ht="20.100000000000001" customHeight="1" x14ac:dyDescent="0.25">
      <c r="A91" s="61" t="s">
        <v>378</v>
      </c>
      <c r="B91" s="275" t="s">
        <v>256</v>
      </c>
      <c r="C91" s="61" t="s">
        <v>257</v>
      </c>
      <c r="D91" s="337">
        <v>2</v>
      </c>
      <c r="E91" s="59">
        <f t="shared" si="5"/>
        <v>9310</v>
      </c>
      <c r="F91" s="276">
        <f t="shared" si="6"/>
        <v>18620</v>
      </c>
      <c r="G91" s="253">
        <v>6650</v>
      </c>
      <c r="H91" s="277">
        <v>1.4</v>
      </c>
      <c r="I91" s="277"/>
    </row>
    <row r="92" spans="1:9" ht="20.100000000000001" customHeight="1" x14ac:dyDescent="0.25">
      <c r="A92" s="61" t="s">
        <v>379</v>
      </c>
      <c r="B92" s="275" t="s">
        <v>258</v>
      </c>
      <c r="C92" s="61" t="s">
        <v>257</v>
      </c>
      <c r="D92" s="337">
        <v>2</v>
      </c>
      <c r="E92" s="59">
        <f t="shared" si="5"/>
        <v>4844</v>
      </c>
      <c r="F92" s="276">
        <f t="shared" si="6"/>
        <v>9688</v>
      </c>
      <c r="G92" s="253">
        <v>3460</v>
      </c>
      <c r="H92" s="277">
        <v>1.4</v>
      </c>
      <c r="I92" s="277"/>
    </row>
    <row r="93" spans="1:9" ht="20.100000000000001" customHeight="1" x14ac:dyDescent="0.25">
      <c r="A93" s="61" t="s">
        <v>380</v>
      </c>
      <c r="B93" s="275" t="s">
        <v>259</v>
      </c>
      <c r="C93" s="61"/>
      <c r="D93" s="337">
        <v>100</v>
      </c>
      <c r="E93" s="59">
        <f t="shared" si="5"/>
        <v>630</v>
      </c>
      <c r="F93" s="276">
        <f t="shared" si="6"/>
        <v>63000</v>
      </c>
      <c r="G93" s="253">
        <v>450</v>
      </c>
      <c r="H93" s="277">
        <v>1.4</v>
      </c>
      <c r="I93" s="277"/>
    </row>
    <row r="94" spans="1:9" ht="20.100000000000001" customHeight="1" x14ac:dyDescent="0.25">
      <c r="A94" s="61" t="s">
        <v>381</v>
      </c>
      <c r="B94" s="275" t="s">
        <v>260</v>
      </c>
      <c r="C94" s="61" t="s">
        <v>204</v>
      </c>
      <c r="D94" s="337">
        <v>1</v>
      </c>
      <c r="E94" s="59">
        <f t="shared" si="5"/>
        <v>350000</v>
      </c>
      <c r="F94" s="276">
        <f t="shared" si="6"/>
        <v>350000</v>
      </c>
      <c r="G94" s="253">
        <v>250000</v>
      </c>
      <c r="H94" s="277">
        <v>1.4</v>
      </c>
      <c r="I94" s="277"/>
    </row>
    <row r="95" spans="1:9" ht="15" customHeight="1" x14ac:dyDescent="0.25">
      <c r="A95" s="61"/>
      <c r="B95" s="275"/>
      <c r="C95" s="61"/>
      <c r="D95" s="337"/>
      <c r="E95" s="59">
        <f t="shared" si="5"/>
        <v>0</v>
      </c>
      <c r="F95" s="278"/>
      <c r="H95" s="277"/>
      <c r="I95" s="277"/>
    </row>
    <row r="96" spans="1:9" s="272" customFormat="1" ht="20.100000000000001" customHeight="1" x14ac:dyDescent="0.25">
      <c r="A96" s="267" t="s">
        <v>382</v>
      </c>
      <c r="B96" s="273" t="s">
        <v>261</v>
      </c>
      <c r="C96" s="267"/>
      <c r="D96" s="336"/>
      <c r="E96" s="59">
        <f t="shared" si="5"/>
        <v>0</v>
      </c>
      <c r="F96" s="276"/>
      <c r="G96" s="274"/>
      <c r="H96" s="277"/>
      <c r="I96" s="261"/>
    </row>
    <row r="97" spans="1:9" ht="20.100000000000001" customHeight="1" x14ac:dyDescent="0.25">
      <c r="A97" s="61" t="s">
        <v>383</v>
      </c>
      <c r="B97" s="275" t="s">
        <v>290</v>
      </c>
      <c r="C97" s="61" t="s">
        <v>205</v>
      </c>
      <c r="D97" s="337">
        <f>6500+400</f>
        <v>6900</v>
      </c>
      <c r="E97" s="59">
        <f t="shared" si="5"/>
        <v>6755</v>
      </c>
      <c r="F97" s="276">
        <f t="shared" si="6"/>
        <v>46609500</v>
      </c>
      <c r="G97" s="253">
        <v>4825</v>
      </c>
      <c r="H97" s="277">
        <v>1.4</v>
      </c>
      <c r="I97" s="277"/>
    </row>
    <row r="98" spans="1:9" ht="20.100000000000001" customHeight="1" x14ac:dyDescent="0.25">
      <c r="A98" s="61" t="s">
        <v>384</v>
      </c>
      <c r="B98" s="275" t="s">
        <v>292</v>
      </c>
      <c r="C98" s="61" t="s">
        <v>205</v>
      </c>
      <c r="D98" s="337">
        <v>6900</v>
      </c>
      <c r="E98" s="59">
        <f t="shared" si="5"/>
        <v>3465</v>
      </c>
      <c r="F98" s="276">
        <f t="shared" si="6"/>
        <v>23908500</v>
      </c>
      <c r="G98" s="253">
        <v>2475</v>
      </c>
      <c r="H98" s="277">
        <v>1.4</v>
      </c>
      <c r="I98" s="277"/>
    </row>
    <row r="99" spans="1:9" ht="20.100000000000001" customHeight="1" x14ac:dyDescent="0.25">
      <c r="A99" s="61" t="s">
        <v>385</v>
      </c>
      <c r="B99" s="275" t="s">
        <v>334</v>
      </c>
      <c r="C99" s="61" t="s">
        <v>205</v>
      </c>
      <c r="D99" s="337">
        <v>1000</v>
      </c>
      <c r="E99" s="59">
        <f t="shared" si="5"/>
        <v>1351</v>
      </c>
      <c r="F99" s="276">
        <f t="shared" si="6"/>
        <v>1351000</v>
      </c>
      <c r="G99" s="253">
        <v>965</v>
      </c>
      <c r="H99" s="277">
        <v>1.4</v>
      </c>
      <c r="I99" s="277"/>
    </row>
    <row r="100" spans="1:9" ht="20.100000000000001" customHeight="1" x14ac:dyDescent="0.25">
      <c r="A100" s="61" t="s">
        <v>386</v>
      </c>
      <c r="B100" s="275" t="s">
        <v>296</v>
      </c>
      <c r="C100" s="61" t="s">
        <v>203</v>
      </c>
      <c r="D100" s="337">
        <v>650</v>
      </c>
      <c r="E100" s="59">
        <f t="shared" si="5"/>
        <v>3639.9999999999995</v>
      </c>
      <c r="F100" s="276">
        <f t="shared" si="6"/>
        <v>2365999.9999999995</v>
      </c>
      <c r="G100" s="253">
        <v>2600</v>
      </c>
      <c r="H100" s="277">
        <v>1.4</v>
      </c>
      <c r="I100" s="277"/>
    </row>
    <row r="101" spans="1:9" ht="20.100000000000001" customHeight="1" x14ac:dyDescent="0.25">
      <c r="A101" s="61" t="s">
        <v>387</v>
      </c>
      <c r="B101" s="275" t="s">
        <v>298</v>
      </c>
      <c r="C101" s="61" t="s">
        <v>203</v>
      </c>
      <c r="D101" s="337">
        <v>650</v>
      </c>
      <c r="E101" s="59">
        <f t="shared" si="5"/>
        <v>5691</v>
      </c>
      <c r="F101" s="276">
        <f t="shared" si="6"/>
        <v>3699150</v>
      </c>
      <c r="G101" s="253">
        <v>4065</v>
      </c>
      <c r="H101" s="277">
        <v>1.4</v>
      </c>
      <c r="I101" s="277"/>
    </row>
    <row r="102" spans="1:9" ht="20.100000000000001" customHeight="1" x14ac:dyDescent="0.25">
      <c r="A102" s="61" t="s">
        <v>388</v>
      </c>
      <c r="B102" s="275" t="s">
        <v>218</v>
      </c>
      <c r="C102" s="61" t="s">
        <v>205</v>
      </c>
      <c r="D102" s="337">
        <v>13000</v>
      </c>
      <c r="E102" s="59">
        <f t="shared" si="5"/>
        <v>2100</v>
      </c>
      <c r="F102" s="276">
        <f t="shared" si="6"/>
        <v>27300000</v>
      </c>
      <c r="G102" s="253">
        <v>1500</v>
      </c>
      <c r="H102" s="277">
        <v>1.4</v>
      </c>
      <c r="I102" s="277"/>
    </row>
    <row r="103" spans="1:9" ht="20.100000000000001" customHeight="1" x14ac:dyDescent="0.25">
      <c r="A103" s="61" t="s">
        <v>389</v>
      </c>
      <c r="B103" s="275" t="s">
        <v>202</v>
      </c>
      <c r="C103" s="61" t="s">
        <v>205</v>
      </c>
      <c r="D103" s="337">
        <v>4800</v>
      </c>
      <c r="E103" s="59">
        <f t="shared" si="5"/>
        <v>203</v>
      </c>
      <c r="F103" s="276">
        <f t="shared" si="6"/>
        <v>974400</v>
      </c>
      <c r="G103" s="253">
        <v>145</v>
      </c>
      <c r="H103" s="277">
        <v>1.4</v>
      </c>
      <c r="I103" s="277"/>
    </row>
    <row r="104" spans="1:9" ht="20.100000000000001" customHeight="1" x14ac:dyDescent="0.25">
      <c r="A104" s="61" t="s">
        <v>390</v>
      </c>
      <c r="B104" s="275" t="s">
        <v>219</v>
      </c>
      <c r="C104" s="61" t="s">
        <v>203</v>
      </c>
      <c r="D104" s="337">
        <v>128</v>
      </c>
      <c r="E104" s="59">
        <f t="shared" si="5"/>
        <v>11900</v>
      </c>
      <c r="F104" s="276">
        <f t="shared" si="6"/>
        <v>1523200</v>
      </c>
      <c r="G104" s="253">
        <v>8500</v>
      </c>
      <c r="H104" s="277">
        <v>1.4</v>
      </c>
      <c r="I104" s="277"/>
    </row>
    <row r="105" spans="1:9" ht="20.100000000000001" customHeight="1" x14ac:dyDescent="0.25">
      <c r="A105" s="61" t="s">
        <v>391</v>
      </c>
      <c r="B105" s="275" t="s">
        <v>220</v>
      </c>
      <c r="C105" s="61" t="s">
        <v>203</v>
      </c>
      <c r="D105" s="337">
        <v>128</v>
      </c>
      <c r="E105" s="59">
        <f t="shared" si="5"/>
        <v>3989.9999999999995</v>
      </c>
      <c r="F105" s="276">
        <f t="shared" si="6"/>
        <v>510719.99999999994</v>
      </c>
      <c r="G105" s="253">
        <v>2850</v>
      </c>
      <c r="H105" s="277">
        <v>1.4</v>
      </c>
      <c r="I105" s="277"/>
    </row>
    <row r="106" spans="1:9" ht="20.100000000000001" customHeight="1" x14ac:dyDescent="0.25">
      <c r="A106" s="61" t="s">
        <v>392</v>
      </c>
      <c r="B106" s="275" t="s">
        <v>304</v>
      </c>
      <c r="C106" s="61" t="s">
        <v>203</v>
      </c>
      <c r="D106" s="337">
        <v>128</v>
      </c>
      <c r="E106" s="59">
        <f t="shared" si="5"/>
        <v>21000</v>
      </c>
      <c r="F106" s="278">
        <f t="shared" ref="F106:F111" si="7">+D106*E106</f>
        <v>2688000</v>
      </c>
      <c r="G106" s="253">
        <v>15000</v>
      </c>
      <c r="H106" s="277">
        <v>1.4</v>
      </c>
      <c r="I106" s="277"/>
    </row>
    <row r="107" spans="1:9" ht="20.100000000000001" customHeight="1" x14ac:dyDescent="0.25">
      <c r="A107" s="61" t="s">
        <v>393</v>
      </c>
      <c r="B107" s="275" t="s">
        <v>222</v>
      </c>
      <c r="C107" s="61" t="s">
        <v>205</v>
      </c>
      <c r="D107" s="337">
        <v>1200</v>
      </c>
      <c r="E107" s="59">
        <f t="shared" si="5"/>
        <v>17500</v>
      </c>
      <c r="F107" s="278">
        <f t="shared" si="7"/>
        <v>21000000</v>
      </c>
      <c r="G107" s="253">
        <v>12500</v>
      </c>
      <c r="H107" s="277">
        <v>1.4</v>
      </c>
      <c r="I107" s="277"/>
    </row>
    <row r="108" spans="1:9" ht="20.100000000000001" customHeight="1" x14ac:dyDescent="0.25">
      <c r="A108" s="61" t="s">
        <v>394</v>
      </c>
      <c r="B108" s="275" t="s">
        <v>223</v>
      </c>
      <c r="C108" s="61" t="s">
        <v>205</v>
      </c>
      <c r="D108" s="337">
        <v>4800</v>
      </c>
      <c r="E108" s="59">
        <f t="shared" si="5"/>
        <v>2100</v>
      </c>
      <c r="F108" s="278">
        <f t="shared" si="7"/>
        <v>10080000</v>
      </c>
      <c r="G108" s="253">
        <v>1500</v>
      </c>
      <c r="H108" s="277">
        <v>1.4</v>
      </c>
      <c r="I108" s="277"/>
    </row>
    <row r="109" spans="1:9" ht="20.100000000000001" customHeight="1" x14ac:dyDescent="0.25">
      <c r="A109" s="61" t="s">
        <v>395</v>
      </c>
      <c r="B109" s="275" t="s">
        <v>275</v>
      </c>
      <c r="C109" s="61" t="s">
        <v>205</v>
      </c>
      <c r="D109" s="337">
        <v>60</v>
      </c>
      <c r="E109" s="59">
        <f t="shared" si="5"/>
        <v>6300</v>
      </c>
      <c r="F109" s="278">
        <f t="shared" si="7"/>
        <v>378000</v>
      </c>
      <c r="G109" s="253">
        <v>4500</v>
      </c>
      <c r="H109" s="277">
        <v>1.4</v>
      </c>
      <c r="I109" s="277"/>
    </row>
    <row r="110" spans="1:9" ht="20.100000000000001" customHeight="1" x14ac:dyDescent="0.25">
      <c r="A110" s="61" t="s">
        <v>396</v>
      </c>
      <c r="B110" s="275" t="s">
        <v>276</v>
      </c>
      <c r="C110" s="61" t="s">
        <v>205</v>
      </c>
      <c r="D110" s="337">
        <v>150</v>
      </c>
      <c r="E110" s="59">
        <f t="shared" si="5"/>
        <v>6300</v>
      </c>
      <c r="F110" s="278">
        <f t="shared" si="7"/>
        <v>945000</v>
      </c>
      <c r="G110" s="253">
        <v>4500</v>
      </c>
      <c r="H110" s="277">
        <v>1.4</v>
      </c>
      <c r="I110" s="277"/>
    </row>
    <row r="111" spans="1:9" ht="20.100000000000001" customHeight="1" x14ac:dyDescent="0.25">
      <c r="A111" s="61" t="s">
        <v>397</v>
      </c>
      <c r="B111" s="275" t="s">
        <v>311</v>
      </c>
      <c r="C111" s="61" t="s">
        <v>203</v>
      </c>
      <c r="D111" s="337">
        <v>128</v>
      </c>
      <c r="E111" s="59">
        <f t="shared" si="5"/>
        <v>35000</v>
      </c>
      <c r="F111" s="278">
        <f t="shared" si="7"/>
        <v>4480000</v>
      </c>
      <c r="G111" s="253">
        <v>25000</v>
      </c>
      <c r="H111" s="277">
        <v>1.4</v>
      </c>
      <c r="I111" s="277"/>
    </row>
    <row r="112" spans="1:9" ht="15" customHeight="1" x14ac:dyDescent="0.25">
      <c r="A112" s="61"/>
      <c r="B112" s="275"/>
      <c r="C112" s="61"/>
      <c r="D112" s="337"/>
      <c r="E112" s="59">
        <f t="shared" si="5"/>
        <v>0</v>
      </c>
      <c r="F112" s="278"/>
      <c r="H112" s="277"/>
      <c r="I112" s="277"/>
    </row>
    <row r="113" spans="1:9" s="272" customFormat="1" ht="20.100000000000001" customHeight="1" x14ac:dyDescent="0.25">
      <c r="A113" s="267" t="s">
        <v>398</v>
      </c>
      <c r="B113" s="273" t="s">
        <v>263</v>
      </c>
      <c r="C113" s="267"/>
      <c r="D113" s="336"/>
      <c r="E113" s="59">
        <f t="shared" si="5"/>
        <v>0</v>
      </c>
      <c r="F113" s="276"/>
      <c r="G113" s="274"/>
      <c r="H113" s="277"/>
      <c r="I113" s="261"/>
    </row>
    <row r="114" spans="1:9" ht="20.100000000000001" customHeight="1" x14ac:dyDescent="0.25">
      <c r="A114" s="61" t="s">
        <v>399</v>
      </c>
      <c r="B114" s="275" t="s">
        <v>290</v>
      </c>
      <c r="C114" s="61" t="s">
        <v>205</v>
      </c>
      <c r="D114" s="337">
        <f>8000+500</f>
        <v>8500</v>
      </c>
      <c r="E114" s="59">
        <f t="shared" si="5"/>
        <v>6755</v>
      </c>
      <c r="F114" s="276">
        <f t="shared" si="6"/>
        <v>57417500</v>
      </c>
      <c r="G114" s="253">
        <v>4825</v>
      </c>
      <c r="H114" s="277">
        <v>1.4</v>
      </c>
      <c r="I114" s="277"/>
    </row>
    <row r="115" spans="1:9" ht="20.100000000000001" customHeight="1" x14ac:dyDescent="0.25">
      <c r="A115" s="61" t="s">
        <v>400</v>
      </c>
      <c r="B115" s="275" t="s">
        <v>292</v>
      </c>
      <c r="C115" s="61" t="s">
        <v>205</v>
      </c>
      <c r="D115" s="337">
        <v>8500</v>
      </c>
      <c r="E115" s="59">
        <f t="shared" si="5"/>
        <v>3465</v>
      </c>
      <c r="F115" s="276">
        <f t="shared" si="6"/>
        <v>29452500</v>
      </c>
      <c r="G115" s="253">
        <v>2475</v>
      </c>
      <c r="H115" s="277">
        <v>1.4</v>
      </c>
      <c r="I115" s="277"/>
    </row>
    <row r="116" spans="1:9" ht="20.100000000000001" customHeight="1" x14ac:dyDescent="0.25">
      <c r="A116" s="61" t="s">
        <v>401</v>
      </c>
      <c r="B116" s="275" t="s">
        <v>294</v>
      </c>
      <c r="C116" s="61" t="s">
        <v>205</v>
      </c>
      <c r="D116" s="337">
        <v>300</v>
      </c>
      <c r="E116" s="59">
        <f t="shared" si="5"/>
        <v>1351</v>
      </c>
      <c r="F116" s="276">
        <f t="shared" si="6"/>
        <v>405300</v>
      </c>
      <c r="G116" s="253">
        <v>965</v>
      </c>
      <c r="H116" s="277">
        <v>1.4</v>
      </c>
      <c r="I116" s="277"/>
    </row>
    <row r="117" spans="1:9" ht="20.100000000000001" customHeight="1" x14ac:dyDescent="0.25">
      <c r="A117" s="61" t="s">
        <v>402</v>
      </c>
      <c r="B117" s="275" t="s">
        <v>216</v>
      </c>
      <c r="C117" s="61" t="s">
        <v>203</v>
      </c>
      <c r="D117" s="337">
        <v>600</v>
      </c>
      <c r="E117" s="59">
        <f t="shared" si="5"/>
        <v>3639.9999999999995</v>
      </c>
      <c r="F117" s="276">
        <f t="shared" si="6"/>
        <v>2183999.9999999995</v>
      </c>
      <c r="G117" s="253">
        <v>2600</v>
      </c>
      <c r="H117" s="277">
        <v>1.4</v>
      </c>
      <c r="I117" s="277"/>
    </row>
    <row r="118" spans="1:9" ht="20.100000000000001" customHeight="1" x14ac:dyDescent="0.25">
      <c r="A118" s="61" t="s">
        <v>403</v>
      </c>
      <c r="B118" s="275" t="s">
        <v>298</v>
      </c>
      <c r="C118" s="61" t="s">
        <v>203</v>
      </c>
      <c r="D118" s="337">
        <v>600</v>
      </c>
      <c r="E118" s="59">
        <f t="shared" si="5"/>
        <v>5691</v>
      </c>
      <c r="F118" s="276">
        <f t="shared" si="6"/>
        <v>3414600</v>
      </c>
      <c r="G118" s="253">
        <v>4065</v>
      </c>
      <c r="H118" s="277">
        <v>1.4</v>
      </c>
      <c r="I118" s="277"/>
    </row>
    <row r="119" spans="1:9" ht="20.100000000000001" customHeight="1" x14ac:dyDescent="0.25">
      <c r="A119" s="61" t="s">
        <v>404</v>
      </c>
      <c r="B119" s="275" t="s">
        <v>218</v>
      </c>
      <c r="C119" s="61" t="s">
        <v>205</v>
      </c>
      <c r="D119" s="337">
        <v>13000</v>
      </c>
      <c r="E119" s="59">
        <f t="shared" si="5"/>
        <v>2100</v>
      </c>
      <c r="F119" s="276">
        <f t="shared" si="6"/>
        <v>27300000</v>
      </c>
      <c r="G119" s="253">
        <v>1500</v>
      </c>
      <c r="H119" s="277">
        <v>1.4</v>
      </c>
      <c r="I119" s="277"/>
    </row>
    <row r="120" spans="1:9" ht="20.100000000000001" customHeight="1" x14ac:dyDescent="0.25">
      <c r="A120" s="61" t="s">
        <v>405</v>
      </c>
      <c r="B120" s="275" t="s">
        <v>202</v>
      </c>
      <c r="C120" s="61" t="s">
        <v>205</v>
      </c>
      <c r="D120" s="337">
        <v>6450</v>
      </c>
      <c r="E120" s="59">
        <f t="shared" si="5"/>
        <v>203</v>
      </c>
      <c r="F120" s="276">
        <f t="shared" si="6"/>
        <v>1309350</v>
      </c>
      <c r="G120" s="253">
        <v>145</v>
      </c>
      <c r="H120" s="277">
        <v>1.4</v>
      </c>
      <c r="I120" s="277"/>
    </row>
    <row r="121" spans="1:9" ht="20.100000000000001" customHeight="1" x14ac:dyDescent="0.25">
      <c r="A121" s="61" t="s">
        <v>406</v>
      </c>
      <c r="B121" s="275" t="s">
        <v>219</v>
      </c>
      <c r="C121" s="61" t="s">
        <v>203</v>
      </c>
      <c r="D121" s="337">
        <v>117</v>
      </c>
      <c r="E121" s="59">
        <f t="shared" si="5"/>
        <v>11900</v>
      </c>
      <c r="F121" s="276">
        <f t="shared" si="6"/>
        <v>1392300</v>
      </c>
      <c r="G121" s="253">
        <v>8500</v>
      </c>
      <c r="H121" s="277">
        <v>1.4</v>
      </c>
      <c r="I121" s="277"/>
    </row>
    <row r="122" spans="1:9" ht="20.100000000000001" customHeight="1" x14ac:dyDescent="0.25">
      <c r="A122" s="61" t="s">
        <v>407</v>
      </c>
      <c r="B122" s="275" t="s">
        <v>220</v>
      </c>
      <c r="C122" s="61" t="s">
        <v>203</v>
      </c>
      <c r="D122" s="337">
        <v>117</v>
      </c>
      <c r="E122" s="59">
        <f t="shared" si="5"/>
        <v>3989.9999999999995</v>
      </c>
      <c r="F122" s="276">
        <f t="shared" si="6"/>
        <v>466829.99999999994</v>
      </c>
      <c r="G122" s="253">
        <v>2850</v>
      </c>
      <c r="H122" s="277">
        <v>1.4</v>
      </c>
      <c r="I122" s="277"/>
    </row>
    <row r="123" spans="1:9" ht="20.100000000000001" customHeight="1" x14ac:dyDescent="0.25">
      <c r="A123" s="61" t="s">
        <v>408</v>
      </c>
      <c r="B123" s="275" t="s">
        <v>304</v>
      </c>
      <c r="C123" s="61" t="s">
        <v>203</v>
      </c>
      <c r="D123" s="337">
        <v>117</v>
      </c>
      <c r="E123" s="59">
        <f t="shared" si="5"/>
        <v>21000</v>
      </c>
      <c r="F123" s="278">
        <f t="shared" ref="F123:F134" si="8">+D123*E123</f>
        <v>2457000</v>
      </c>
      <c r="G123" s="253">
        <v>15000</v>
      </c>
      <c r="H123" s="277">
        <v>1.4</v>
      </c>
      <c r="I123" s="277"/>
    </row>
    <row r="124" spans="1:9" ht="20.100000000000001" customHeight="1" x14ac:dyDescent="0.25">
      <c r="A124" s="61" t="s">
        <v>409</v>
      </c>
      <c r="B124" s="275" t="s">
        <v>222</v>
      </c>
      <c r="C124" s="61" t="s">
        <v>205</v>
      </c>
      <c r="D124" s="337">
        <v>1200</v>
      </c>
      <c r="E124" s="59">
        <f t="shared" si="5"/>
        <v>17500</v>
      </c>
      <c r="F124" s="278">
        <f t="shared" si="8"/>
        <v>21000000</v>
      </c>
      <c r="G124" s="253">
        <v>12500</v>
      </c>
      <c r="H124" s="277">
        <v>1.4</v>
      </c>
      <c r="I124" s="277"/>
    </row>
    <row r="125" spans="1:9" ht="20.100000000000001" customHeight="1" x14ac:dyDescent="0.25">
      <c r="A125" s="61" t="s">
        <v>410</v>
      </c>
      <c r="B125" s="275" t="s">
        <v>223</v>
      </c>
      <c r="C125" s="61" t="s">
        <v>205</v>
      </c>
      <c r="D125" s="337">
        <v>5250</v>
      </c>
      <c r="E125" s="59">
        <f t="shared" si="5"/>
        <v>2100</v>
      </c>
      <c r="F125" s="278">
        <f t="shared" si="8"/>
        <v>11025000</v>
      </c>
      <c r="G125" s="253">
        <v>1500</v>
      </c>
      <c r="H125" s="277">
        <v>1.4</v>
      </c>
      <c r="I125" s="277"/>
    </row>
    <row r="126" spans="1:9" ht="20.100000000000001" customHeight="1" x14ac:dyDescent="0.25">
      <c r="A126" s="61" t="s">
        <v>411</v>
      </c>
      <c r="B126" s="275" t="s">
        <v>311</v>
      </c>
      <c r="C126" s="61" t="s">
        <v>203</v>
      </c>
      <c r="D126" s="337">
        <v>117</v>
      </c>
      <c r="E126" s="59">
        <f t="shared" si="5"/>
        <v>35000</v>
      </c>
      <c r="F126" s="278">
        <f t="shared" si="8"/>
        <v>4095000</v>
      </c>
      <c r="G126" s="253">
        <v>25000</v>
      </c>
      <c r="H126" s="277">
        <v>1.4</v>
      </c>
      <c r="I126" s="277"/>
    </row>
    <row r="127" spans="1:9" ht="20.100000000000001" customHeight="1" x14ac:dyDescent="0.25">
      <c r="A127" s="61" t="s">
        <v>412</v>
      </c>
      <c r="B127" s="275" t="s">
        <v>269</v>
      </c>
      <c r="C127" s="61" t="s">
        <v>204</v>
      </c>
      <c r="D127" s="337">
        <v>4</v>
      </c>
      <c r="E127" s="59">
        <f t="shared" si="5"/>
        <v>489999.99999999994</v>
      </c>
      <c r="F127" s="278">
        <f t="shared" si="8"/>
        <v>1959999.9999999998</v>
      </c>
      <c r="G127" s="253">
        <v>350000</v>
      </c>
      <c r="H127" s="277">
        <v>1.4</v>
      </c>
      <c r="I127" s="277"/>
    </row>
    <row r="128" spans="1:9" ht="20.100000000000001" customHeight="1" x14ac:dyDescent="0.25">
      <c r="A128" s="61" t="s">
        <v>413</v>
      </c>
      <c r="B128" s="275" t="s">
        <v>276</v>
      </c>
      <c r="C128" s="61" t="s">
        <v>205</v>
      </c>
      <c r="D128" s="337">
        <v>110</v>
      </c>
      <c r="E128" s="59">
        <f t="shared" si="5"/>
        <v>6300</v>
      </c>
      <c r="F128" s="278">
        <f t="shared" si="8"/>
        <v>693000</v>
      </c>
      <c r="G128" s="253">
        <v>4500</v>
      </c>
      <c r="H128" s="277">
        <v>1.4</v>
      </c>
      <c r="I128" s="277"/>
    </row>
    <row r="129" spans="1:9" ht="20.100000000000001" customHeight="1" x14ac:dyDescent="0.25">
      <c r="A129" s="61" t="s">
        <v>414</v>
      </c>
      <c r="B129" s="275" t="s">
        <v>275</v>
      </c>
      <c r="C129" s="61" t="s">
        <v>205</v>
      </c>
      <c r="D129" s="337">
        <v>60</v>
      </c>
      <c r="E129" s="59">
        <f t="shared" si="5"/>
        <v>6300</v>
      </c>
      <c r="F129" s="278">
        <f t="shared" si="8"/>
        <v>378000</v>
      </c>
      <c r="G129" s="253">
        <v>4500</v>
      </c>
      <c r="H129" s="277">
        <v>1.4</v>
      </c>
      <c r="I129" s="277"/>
    </row>
    <row r="130" spans="1:9" ht="20.100000000000001" customHeight="1" x14ac:dyDescent="0.25">
      <c r="A130" s="61" t="s">
        <v>415</v>
      </c>
      <c r="B130" s="275" t="s">
        <v>270</v>
      </c>
      <c r="C130" s="61" t="s">
        <v>204</v>
      </c>
      <c r="D130" s="337">
        <v>1</v>
      </c>
      <c r="E130" s="59">
        <f t="shared" si="5"/>
        <v>1820000</v>
      </c>
      <c r="F130" s="278">
        <f t="shared" si="8"/>
        <v>1820000</v>
      </c>
      <c r="G130" s="253">
        <v>1300000</v>
      </c>
      <c r="H130" s="277">
        <v>1.4</v>
      </c>
      <c r="I130" s="277"/>
    </row>
    <row r="131" spans="1:9" ht="20.100000000000001" customHeight="1" x14ac:dyDescent="0.25">
      <c r="A131" s="61" t="s">
        <v>416</v>
      </c>
      <c r="B131" s="275" t="s">
        <v>271</v>
      </c>
      <c r="C131" s="61" t="s">
        <v>205</v>
      </c>
      <c r="D131" s="337">
        <v>6</v>
      </c>
      <c r="E131" s="59">
        <f t="shared" si="5"/>
        <v>6300</v>
      </c>
      <c r="F131" s="278">
        <f t="shared" si="8"/>
        <v>37800</v>
      </c>
      <c r="G131" s="253">
        <v>4500</v>
      </c>
      <c r="H131" s="277">
        <v>1.4</v>
      </c>
      <c r="I131" s="277"/>
    </row>
    <row r="132" spans="1:9" ht="20.100000000000001" customHeight="1" x14ac:dyDescent="0.25">
      <c r="A132" s="61" t="s">
        <v>417</v>
      </c>
      <c r="B132" s="275" t="s">
        <v>277</v>
      </c>
      <c r="C132" s="61" t="s">
        <v>418</v>
      </c>
      <c r="D132" s="337">
        <v>20</v>
      </c>
      <c r="E132" s="59">
        <f t="shared" si="5"/>
        <v>210000</v>
      </c>
      <c r="F132" s="278">
        <f t="shared" si="8"/>
        <v>4200000</v>
      </c>
      <c r="G132" s="253">
        <v>150000</v>
      </c>
      <c r="H132" s="277">
        <v>1.4</v>
      </c>
      <c r="I132" s="277"/>
    </row>
    <row r="133" spans="1:9" ht="20.100000000000001" customHeight="1" x14ac:dyDescent="0.25">
      <c r="A133" s="61" t="s">
        <v>419</v>
      </c>
      <c r="B133" s="275" t="s">
        <v>420</v>
      </c>
      <c r="C133" s="61" t="s">
        <v>418</v>
      </c>
      <c r="D133" s="337">
        <v>60</v>
      </c>
      <c r="E133" s="59">
        <f t="shared" si="5"/>
        <v>840000</v>
      </c>
      <c r="F133" s="278">
        <f t="shared" si="8"/>
        <v>50400000</v>
      </c>
      <c r="G133" s="253">
        <v>600000</v>
      </c>
      <c r="H133" s="277">
        <v>1.4</v>
      </c>
      <c r="I133" s="277"/>
    </row>
    <row r="134" spans="1:9" ht="20.100000000000001" customHeight="1" x14ac:dyDescent="0.25">
      <c r="A134" s="61" t="s">
        <v>421</v>
      </c>
      <c r="B134" s="275" t="s">
        <v>422</v>
      </c>
      <c r="C134" s="61" t="s">
        <v>418</v>
      </c>
      <c r="D134" s="337">
        <v>75</v>
      </c>
      <c r="E134" s="59">
        <f t="shared" si="5"/>
        <v>182000</v>
      </c>
      <c r="F134" s="278">
        <f t="shared" si="8"/>
        <v>13650000</v>
      </c>
      <c r="G134" s="253">
        <v>130000</v>
      </c>
      <c r="H134" s="277">
        <v>1.4</v>
      </c>
      <c r="I134" s="277"/>
    </row>
    <row r="135" spans="1:9" ht="15" customHeight="1" x14ac:dyDescent="0.25">
      <c r="A135" s="61"/>
      <c r="B135" s="275"/>
      <c r="C135" s="61"/>
      <c r="D135" s="337"/>
      <c r="E135" s="59">
        <f t="shared" si="5"/>
        <v>0</v>
      </c>
      <c r="F135" s="278"/>
      <c r="H135" s="277"/>
      <c r="I135" s="277"/>
    </row>
    <row r="136" spans="1:9" s="272" customFormat="1" ht="20.100000000000001" customHeight="1" x14ac:dyDescent="0.25">
      <c r="A136" s="267" t="s">
        <v>423</v>
      </c>
      <c r="B136" s="273" t="s">
        <v>264</v>
      </c>
      <c r="C136" s="267"/>
      <c r="D136" s="336"/>
      <c r="E136" s="59">
        <f t="shared" si="5"/>
        <v>0</v>
      </c>
      <c r="F136" s="276"/>
      <c r="G136" s="274"/>
      <c r="H136" s="277"/>
      <c r="I136" s="261"/>
    </row>
    <row r="137" spans="1:9" ht="20.100000000000001" customHeight="1" x14ac:dyDescent="0.25">
      <c r="A137" s="61" t="s">
        <v>424</v>
      </c>
      <c r="B137" s="275" t="s">
        <v>292</v>
      </c>
      <c r="C137" s="61" t="s">
        <v>205</v>
      </c>
      <c r="D137" s="337">
        <v>600</v>
      </c>
      <c r="E137" s="59">
        <f t="shared" si="5"/>
        <v>3465</v>
      </c>
      <c r="F137" s="276">
        <f t="shared" si="6"/>
        <v>2079000</v>
      </c>
      <c r="G137" s="253">
        <v>2475</v>
      </c>
      <c r="H137" s="277">
        <v>1.4</v>
      </c>
      <c r="I137" s="277"/>
    </row>
    <row r="138" spans="1:9" ht="20.100000000000001" customHeight="1" x14ac:dyDescent="0.25">
      <c r="A138" s="61" t="s">
        <v>425</v>
      </c>
      <c r="B138" s="275" t="s">
        <v>230</v>
      </c>
      <c r="C138" s="61" t="s">
        <v>205</v>
      </c>
      <c r="D138" s="337">
        <v>27</v>
      </c>
      <c r="E138" s="59">
        <f t="shared" si="5"/>
        <v>6888</v>
      </c>
      <c r="F138" s="276">
        <f t="shared" si="6"/>
        <v>185976</v>
      </c>
      <c r="G138" s="253">
        <v>4920</v>
      </c>
      <c r="H138" s="277">
        <v>1.4</v>
      </c>
      <c r="I138" s="277"/>
    </row>
    <row r="139" spans="1:9" ht="20.100000000000001" customHeight="1" x14ac:dyDescent="0.25">
      <c r="A139" s="61" t="s">
        <v>426</v>
      </c>
      <c r="B139" s="275" t="s">
        <v>231</v>
      </c>
      <c r="C139" s="61" t="s">
        <v>205</v>
      </c>
      <c r="D139" s="337">
        <v>6</v>
      </c>
      <c r="E139" s="59">
        <f t="shared" si="5"/>
        <v>4900</v>
      </c>
      <c r="F139" s="276">
        <f t="shared" si="6"/>
        <v>29400</v>
      </c>
      <c r="G139" s="253">
        <v>3500</v>
      </c>
      <c r="H139" s="277">
        <v>1.4</v>
      </c>
      <c r="I139" s="277"/>
    </row>
    <row r="140" spans="1:9" ht="20.100000000000001" customHeight="1" x14ac:dyDescent="0.25">
      <c r="A140" s="61" t="s">
        <v>427</v>
      </c>
      <c r="B140" s="275" t="s">
        <v>232</v>
      </c>
      <c r="C140" s="61" t="s">
        <v>203</v>
      </c>
      <c r="D140" s="337">
        <v>3</v>
      </c>
      <c r="E140" s="59">
        <f t="shared" si="5"/>
        <v>9734.1999999999989</v>
      </c>
      <c r="F140" s="276">
        <f t="shared" si="6"/>
        <v>29202.6</v>
      </c>
      <c r="G140" s="253">
        <v>6953</v>
      </c>
      <c r="H140" s="277">
        <v>1.4</v>
      </c>
      <c r="I140" s="277"/>
    </row>
    <row r="141" spans="1:9" ht="20.100000000000001" customHeight="1" x14ac:dyDescent="0.25">
      <c r="A141" s="61" t="s">
        <v>428</v>
      </c>
      <c r="B141" s="275" t="s">
        <v>233</v>
      </c>
      <c r="C141" s="61" t="s">
        <v>203</v>
      </c>
      <c r="D141" s="337">
        <v>3</v>
      </c>
      <c r="E141" s="59">
        <f t="shared" si="5"/>
        <v>9734.1999999999989</v>
      </c>
      <c r="F141" s="276">
        <f t="shared" si="6"/>
        <v>29202.6</v>
      </c>
      <c r="G141" s="253">
        <v>6953</v>
      </c>
      <c r="H141" s="277">
        <v>1.4</v>
      </c>
      <c r="I141" s="277"/>
    </row>
    <row r="142" spans="1:9" ht="20.100000000000001" customHeight="1" x14ac:dyDescent="0.25">
      <c r="A142" s="61" t="s">
        <v>429</v>
      </c>
      <c r="B142" s="275" t="s">
        <v>234</v>
      </c>
      <c r="C142" s="61" t="s">
        <v>203</v>
      </c>
      <c r="D142" s="337">
        <v>18</v>
      </c>
      <c r="E142" s="59">
        <f t="shared" si="5"/>
        <v>3500</v>
      </c>
      <c r="F142" s="276">
        <f t="shared" si="6"/>
        <v>63000</v>
      </c>
      <c r="G142" s="253">
        <v>2500</v>
      </c>
      <c r="H142" s="277">
        <v>1.4</v>
      </c>
      <c r="I142" s="277"/>
    </row>
    <row r="143" spans="1:9" ht="20.100000000000001" customHeight="1" x14ac:dyDescent="0.25">
      <c r="A143" s="61" t="s">
        <v>430</v>
      </c>
      <c r="B143" s="275" t="s">
        <v>235</v>
      </c>
      <c r="C143" s="61" t="s">
        <v>203</v>
      </c>
      <c r="D143" s="337">
        <v>6</v>
      </c>
      <c r="E143" s="59">
        <f t="shared" si="5"/>
        <v>173250</v>
      </c>
      <c r="F143" s="276">
        <f t="shared" si="6"/>
        <v>1039500</v>
      </c>
      <c r="G143" s="253">
        <v>123750</v>
      </c>
      <c r="H143" s="277">
        <v>1.4</v>
      </c>
      <c r="I143" s="277"/>
    </row>
    <row r="144" spans="1:9" ht="20.100000000000001" customHeight="1" x14ac:dyDescent="0.25">
      <c r="A144" s="61" t="s">
        <v>431</v>
      </c>
      <c r="B144" s="275" t="s">
        <v>236</v>
      </c>
      <c r="C144" s="61" t="s">
        <v>203</v>
      </c>
      <c r="D144" s="337">
        <v>6</v>
      </c>
      <c r="E144" s="59">
        <f t="shared" ref="E144:E170" si="9">+G144*H144</f>
        <v>130429.59999999999</v>
      </c>
      <c r="F144" s="276">
        <f t="shared" si="6"/>
        <v>782577.6</v>
      </c>
      <c r="G144" s="253">
        <v>93164</v>
      </c>
      <c r="H144" s="277">
        <v>1.4</v>
      </c>
      <c r="I144" s="277"/>
    </row>
    <row r="145" spans="1:9" ht="20.100000000000001" customHeight="1" x14ac:dyDescent="0.25">
      <c r="A145" s="61" t="s">
        <v>432</v>
      </c>
      <c r="B145" s="275" t="s">
        <v>237</v>
      </c>
      <c r="C145" s="61" t="s">
        <v>203</v>
      </c>
      <c r="D145" s="337">
        <v>18</v>
      </c>
      <c r="E145" s="59">
        <f t="shared" si="9"/>
        <v>29598.799999999999</v>
      </c>
      <c r="F145" s="276">
        <f t="shared" si="6"/>
        <v>532778.4</v>
      </c>
      <c r="G145" s="253">
        <v>21142</v>
      </c>
      <c r="H145" s="277">
        <v>1.4</v>
      </c>
      <c r="I145" s="277"/>
    </row>
    <row r="146" spans="1:9" ht="20.100000000000001" customHeight="1" x14ac:dyDescent="0.25">
      <c r="A146" s="61" t="s">
        <v>433</v>
      </c>
      <c r="B146" s="275" t="s">
        <v>238</v>
      </c>
      <c r="C146" s="61" t="s">
        <v>203</v>
      </c>
      <c r="D146" s="337">
        <v>6</v>
      </c>
      <c r="E146" s="59">
        <f t="shared" si="9"/>
        <v>53579.399999999994</v>
      </c>
      <c r="F146" s="276">
        <f t="shared" si="6"/>
        <v>321476.39999999997</v>
      </c>
      <c r="G146" s="253">
        <v>38271</v>
      </c>
      <c r="H146" s="277">
        <v>1.4</v>
      </c>
      <c r="I146" s="277"/>
    </row>
    <row r="147" spans="1:9" ht="20.100000000000001" customHeight="1" x14ac:dyDescent="0.25">
      <c r="A147" s="61" t="s">
        <v>434</v>
      </c>
      <c r="B147" s="275" t="s">
        <v>239</v>
      </c>
      <c r="C147" s="61" t="s">
        <v>203</v>
      </c>
      <c r="D147" s="337">
        <v>6</v>
      </c>
      <c r="E147" s="59">
        <f t="shared" si="9"/>
        <v>43926.399999999994</v>
      </c>
      <c r="F147" s="276">
        <f t="shared" si="6"/>
        <v>263558.39999999997</v>
      </c>
      <c r="G147" s="253">
        <v>31376</v>
      </c>
      <c r="H147" s="277">
        <v>1.4</v>
      </c>
      <c r="I147" s="277"/>
    </row>
    <row r="148" spans="1:9" ht="20.100000000000001" customHeight="1" x14ac:dyDescent="0.25">
      <c r="A148" s="61" t="s">
        <v>435</v>
      </c>
      <c r="B148" s="275" t="s">
        <v>240</v>
      </c>
      <c r="C148" s="61" t="s">
        <v>203</v>
      </c>
      <c r="D148" s="337">
        <v>6</v>
      </c>
      <c r="E148" s="59">
        <f t="shared" si="9"/>
        <v>24570</v>
      </c>
      <c r="F148" s="276">
        <f t="shared" si="6"/>
        <v>147420</v>
      </c>
      <c r="G148" s="253">
        <v>17550</v>
      </c>
      <c r="H148" s="277">
        <v>1.4</v>
      </c>
      <c r="I148" s="277"/>
    </row>
    <row r="149" spans="1:9" ht="20.100000000000001" customHeight="1" x14ac:dyDescent="0.25">
      <c r="A149" s="61" t="s">
        <v>436</v>
      </c>
      <c r="B149" s="275" t="s">
        <v>363</v>
      </c>
      <c r="C149" s="61" t="s">
        <v>203</v>
      </c>
      <c r="D149" s="337">
        <v>6</v>
      </c>
      <c r="E149" s="59">
        <f t="shared" si="9"/>
        <v>160616.4</v>
      </c>
      <c r="F149" s="276">
        <f t="shared" si="6"/>
        <v>963698.39999999991</v>
      </c>
      <c r="G149" s="253">
        <v>114726</v>
      </c>
      <c r="H149" s="277">
        <v>1.4</v>
      </c>
      <c r="I149" s="277"/>
    </row>
    <row r="150" spans="1:9" ht="20.100000000000001" customHeight="1" x14ac:dyDescent="0.25">
      <c r="A150" s="61" t="s">
        <v>437</v>
      </c>
      <c r="B150" s="275" t="s">
        <v>242</v>
      </c>
      <c r="C150" s="61" t="s">
        <v>205</v>
      </c>
      <c r="D150" s="337">
        <v>200</v>
      </c>
      <c r="E150" s="59">
        <f t="shared" si="9"/>
        <v>5833.7999999999993</v>
      </c>
      <c r="F150" s="276">
        <f t="shared" si="6"/>
        <v>1166759.9999999998</v>
      </c>
      <c r="G150" s="253">
        <v>4167</v>
      </c>
      <c r="H150" s="277">
        <v>1.4</v>
      </c>
      <c r="I150" s="277"/>
    </row>
    <row r="151" spans="1:9" ht="20.100000000000001" customHeight="1" x14ac:dyDescent="0.25">
      <c r="A151" s="61" t="s">
        <v>438</v>
      </c>
      <c r="B151" s="275" t="s">
        <v>243</v>
      </c>
      <c r="C151" s="61" t="s">
        <v>205</v>
      </c>
      <c r="D151" s="337">
        <v>80</v>
      </c>
      <c r="E151" s="59">
        <f t="shared" si="9"/>
        <v>5833.7999999999993</v>
      </c>
      <c r="F151" s="276">
        <f t="shared" si="6"/>
        <v>466703.99999999994</v>
      </c>
      <c r="G151" s="253">
        <v>4167</v>
      </c>
      <c r="H151" s="277">
        <v>1.4</v>
      </c>
      <c r="I151" s="277"/>
    </row>
    <row r="152" spans="1:9" ht="20.100000000000001" customHeight="1" x14ac:dyDescent="0.25">
      <c r="A152" s="61" t="s">
        <v>439</v>
      </c>
      <c r="B152" s="275" t="s">
        <v>244</v>
      </c>
      <c r="C152" s="61" t="s">
        <v>205</v>
      </c>
      <c r="D152" s="337">
        <v>150</v>
      </c>
      <c r="E152" s="59">
        <f t="shared" si="9"/>
        <v>4963</v>
      </c>
      <c r="F152" s="276">
        <f t="shared" ref="F152:F170" si="10">+E152*D152</f>
        <v>744450</v>
      </c>
      <c r="G152" s="253">
        <v>3545</v>
      </c>
      <c r="H152" s="277">
        <v>1.4</v>
      </c>
      <c r="I152" s="277"/>
    </row>
    <row r="153" spans="1:9" ht="20.100000000000001" customHeight="1" x14ac:dyDescent="0.25">
      <c r="A153" s="61" t="s">
        <v>440</v>
      </c>
      <c r="B153" s="275" t="s">
        <v>245</v>
      </c>
      <c r="C153" s="61" t="s">
        <v>205</v>
      </c>
      <c r="D153" s="337">
        <v>100</v>
      </c>
      <c r="E153" s="59">
        <f t="shared" si="9"/>
        <v>4963</v>
      </c>
      <c r="F153" s="276">
        <f t="shared" si="10"/>
        <v>496300</v>
      </c>
      <c r="G153" s="253">
        <v>3545</v>
      </c>
      <c r="H153" s="277">
        <v>1.4</v>
      </c>
      <c r="I153" s="277"/>
    </row>
    <row r="154" spans="1:9" ht="20.100000000000001" customHeight="1" x14ac:dyDescent="0.25">
      <c r="A154" s="61" t="s">
        <v>441</v>
      </c>
      <c r="B154" s="275" t="s">
        <v>246</v>
      </c>
      <c r="C154" s="61" t="s">
        <v>205</v>
      </c>
      <c r="D154" s="337">
        <v>100</v>
      </c>
      <c r="E154" s="59">
        <f t="shared" si="9"/>
        <v>743.4</v>
      </c>
      <c r="F154" s="276">
        <f t="shared" si="10"/>
        <v>74340</v>
      </c>
      <c r="G154" s="253">
        <v>531</v>
      </c>
      <c r="H154" s="277">
        <v>1.4</v>
      </c>
      <c r="I154" s="277"/>
    </row>
    <row r="155" spans="1:9" ht="20.100000000000001" customHeight="1" x14ac:dyDescent="0.25">
      <c r="A155" s="61" t="s">
        <v>442</v>
      </c>
      <c r="B155" s="275" t="s">
        <v>247</v>
      </c>
      <c r="C155" s="61" t="s">
        <v>205</v>
      </c>
      <c r="D155" s="337">
        <v>100</v>
      </c>
      <c r="E155" s="59">
        <f t="shared" si="9"/>
        <v>743.4</v>
      </c>
      <c r="F155" s="276">
        <f t="shared" si="10"/>
        <v>74340</v>
      </c>
      <c r="G155" s="253">
        <v>531</v>
      </c>
      <c r="H155" s="277">
        <v>1.4</v>
      </c>
      <c r="I155" s="277"/>
    </row>
    <row r="156" spans="1:9" ht="20.100000000000001" customHeight="1" x14ac:dyDescent="0.25">
      <c r="A156" s="61" t="s">
        <v>443</v>
      </c>
      <c r="B156" s="275" t="s">
        <v>248</v>
      </c>
      <c r="C156" s="61" t="s">
        <v>205</v>
      </c>
      <c r="D156" s="337">
        <v>100</v>
      </c>
      <c r="E156" s="59">
        <f t="shared" si="9"/>
        <v>2409.3999999999996</v>
      </c>
      <c r="F156" s="276">
        <f t="shared" si="10"/>
        <v>240939.99999999997</v>
      </c>
      <c r="G156" s="253">
        <v>1721</v>
      </c>
      <c r="H156" s="277">
        <v>1.4</v>
      </c>
      <c r="I156" s="277"/>
    </row>
    <row r="157" spans="1:9" ht="20.100000000000001" customHeight="1" x14ac:dyDescent="0.25">
      <c r="A157" s="61" t="s">
        <v>444</v>
      </c>
      <c r="B157" s="275" t="s">
        <v>249</v>
      </c>
      <c r="C157" s="61" t="s">
        <v>203</v>
      </c>
      <c r="D157" s="337">
        <v>200</v>
      </c>
      <c r="E157" s="59">
        <f t="shared" si="9"/>
        <v>133</v>
      </c>
      <c r="F157" s="276">
        <f t="shared" si="10"/>
        <v>26600</v>
      </c>
      <c r="G157" s="253">
        <v>95</v>
      </c>
      <c r="H157" s="277">
        <v>1.4</v>
      </c>
      <c r="I157" s="277"/>
    </row>
    <row r="158" spans="1:9" ht="20.100000000000001" customHeight="1" x14ac:dyDescent="0.25">
      <c r="A158" s="61" t="s">
        <v>445</v>
      </c>
      <c r="B158" s="275" t="s">
        <v>250</v>
      </c>
      <c r="C158" s="61" t="s">
        <v>203</v>
      </c>
      <c r="D158" s="337">
        <v>200</v>
      </c>
      <c r="E158" s="59">
        <f t="shared" si="9"/>
        <v>116.19999999999999</v>
      </c>
      <c r="F158" s="276">
        <f t="shared" si="10"/>
        <v>23239.999999999996</v>
      </c>
      <c r="G158" s="253">
        <v>83</v>
      </c>
      <c r="H158" s="277">
        <v>1.4</v>
      </c>
      <c r="I158" s="277"/>
    </row>
    <row r="159" spans="1:9" ht="20.100000000000001" customHeight="1" x14ac:dyDescent="0.25">
      <c r="A159" s="61" t="s">
        <v>446</v>
      </c>
      <c r="B159" s="275" t="s">
        <v>251</v>
      </c>
      <c r="C159" s="61" t="s">
        <v>203</v>
      </c>
      <c r="D159" s="337">
        <v>100</v>
      </c>
      <c r="E159" s="59">
        <f t="shared" si="9"/>
        <v>62.999999999999993</v>
      </c>
      <c r="F159" s="276">
        <f t="shared" si="10"/>
        <v>6299.9999999999991</v>
      </c>
      <c r="G159" s="253">
        <v>45</v>
      </c>
      <c r="H159" s="277">
        <v>1.4</v>
      </c>
      <c r="I159" s="277"/>
    </row>
    <row r="160" spans="1:9" ht="20.100000000000001" customHeight="1" x14ac:dyDescent="0.25">
      <c r="A160" s="61" t="s">
        <v>447</v>
      </c>
      <c r="B160" s="275" t="s">
        <v>252</v>
      </c>
      <c r="C160" s="61" t="s">
        <v>203</v>
      </c>
      <c r="D160" s="337">
        <v>100</v>
      </c>
      <c r="E160" s="59">
        <f t="shared" si="9"/>
        <v>53.199999999999996</v>
      </c>
      <c r="F160" s="276">
        <f t="shared" si="10"/>
        <v>5320</v>
      </c>
      <c r="G160" s="253">
        <v>38</v>
      </c>
      <c r="H160" s="277">
        <v>1.4</v>
      </c>
      <c r="I160" s="277"/>
    </row>
    <row r="161" spans="1:9" ht="20.100000000000001" customHeight="1" x14ac:dyDescent="0.25">
      <c r="A161" s="61" t="s">
        <v>448</v>
      </c>
      <c r="B161" s="275" t="s">
        <v>253</v>
      </c>
      <c r="C161" s="61" t="s">
        <v>203</v>
      </c>
      <c r="D161" s="337">
        <v>10</v>
      </c>
      <c r="E161" s="59">
        <f t="shared" si="9"/>
        <v>15839.599999999999</v>
      </c>
      <c r="F161" s="276">
        <f t="shared" si="10"/>
        <v>158396</v>
      </c>
      <c r="G161" s="253">
        <v>11314</v>
      </c>
      <c r="H161" s="277">
        <v>1.4</v>
      </c>
      <c r="I161" s="277"/>
    </row>
    <row r="162" spans="1:9" ht="20.100000000000001" customHeight="1" x14ac:dyDescent="0.25">
      <c r="A162" s="61" t="s">
        <v>449</v>
      </c>
      <c r="B162" s="275" t="s">
        <v>254</v>
      </c>
      <c r="C162" s="61" t="s">
        <v>203</v>
      </c>
      <c r="D162" s="337">
        <v>100</v>
      </c>
      <c r="E162" s="59">
        <f t="shared" si="9"/>
        <v>3465</v>
      </c>
      <c r="F162" s="276">
        <f t="shared" si="10"/>
        <v>346500</v>
      </c>
      <c r="G162" s="253">
        <v>2475</v>
      </c>
      <c r="H162" s="277">
        <v>1.4</v>
      </c>
      <c r="I162" s="277"/>
    </row>
    <row r="163" spans="1:9" ht="20.100000000000001" customHeight="1" x14ac:dyDescent="0.25">
      <c r="A163" s="61" t="s">
        <v>450</v>
      </c>
      <c r="B163" s="275" t="s">
        <v>255</v>
      </c>
      <c r="C163" s="61" t="s">
        <v>203</v>
      </c>
      <c r="D163" s="337">
        <v>3</v>
      </c>
      <c r="E163" s="59">
        <f t="shared" si="9"/>
        <v>27300</v>
      </c>
      <c r="F163" s="276">
        <f t="shared" si="10"/>
        <v>81900</v>
      </c>
      <c r="G163" s="253">
        <v>19500</v>
      </c>
      <c r="H163" s="277">
        <v>1.4</v>
      </c>
      <c r="I163" s="277"/>
    </row>
    <row r="164" spans="1:9" ht="20.100000000000001" customHeight="1" x14ac:dyDescent="0.25">
      <c r="A164" s="61" t="s">
        <v>451</v>
      </c>
      <c r="B164" s="275" t="s">
        <v>256</v>
      </c>
      <c r="C164" s="61" t="s">
        <v>257</v>
      </c>
      <c r="D164" s="337">
        <v>2</v>
      </c>
      <c r="E164" s="59">
        <f t="shared" si="9"/>
        <v>9310</v>
      </c>
      <c r="F164" s="276">
        <f t="shared" si="10"/>
        <v>18620</v>
      </c>
      <c r="G164" s="253">
        <v>6650</v>
      </c>
      <c r="H164" s="277">
        <v>1.4</v>
      </c>
      <c r="I164" s="277"/>
    </row>
    <row r="165" spans="1:9" ht="20.100000000000001" customHeight="1" x14ac:dyDescent="0.25">
      <c r="A165" s="61" t="s">
        <v>452</v>
      </c>
      <c r="B165" s="275" t="s">
        <v>272</v>
      </c>
      <c r="C165" s="61" t="s">
        <v>257</v>
      </c>
      <c r="D165" s="337">
        <v>15</v>
      </c>
      <c r="E165" s="59">
        <f t="shared" si="9"/>
        <v>19600</v>
      </c>
      <c r="F165" s="276">
        <f t="shared" si="10"/>
        <v>294000</v>
      </c>
      <c r="G165" s="253">
        <v>14000</v>
      </c>
      <c r="H165" s="277">
        <v>1.4</v>
      </c>
      <c r="I165" s="277"/>
    </row>
    <row r="166" spans="1:9" ht="20.100000000000001" customHeight="1" x14ac:dyDescent="0.25">
      <c r="A166" s="61" t="s">
        <v>453</v>
      </c>
      <c r="B166" s="275" t="s">
        <v>258</v>
      </c>
      <c r="C166" s="61" t="s">
        <v>257</v>
      </c>
      <c r="D166" s="337">
        <v>6</v>
      </c>
      <c r="E166" s="59">
        <f t="shared" si="9"/>
        <v>4844</v>
      </c>
      <c r="F166" s="276">
        <f t="shared" si="10"/>
        <v>29064</v>
      </c>
      <c r="G166" s="253">
        <v>3460</v>
      </c>
      <c r="H166" s="277">
        <v>1.4</v>
      </c>
      <c r="I166" s="277"/>
    </row>
    <row r="167" spans="1:9" ht="20.100000000000001" customHeight="1" x14ac:dyDescent="0.25">
      <c r="A167" s="61" t="s">
        <v>454</v>
      </c>
      <c r="B167" s="275" t="s">
        <v>455</v>
      </c>
      <c r="C167" s="61" t="s">
        <v>204</v>
      </c>
      <c r="D167" s="337">
        <v>245</v>
      </c>
      <c r="E167" s="59">
        <f t="shared" si="9"/>
        <v>21000</v>
      </c>
      <c r="F167" s="276">
        <f t="shared" si="10"/>
        <v>5145000</v>
      </c>
      <c r="G167" s="253">
        <v>15000</v>
      </c>
      <c r="H167" s="277">
        <v>1.4</v>
      </c>
      <c r="I167" s="277"/>
    </row>
    <row r="168" spans="1:9" ht="20.100000000000001" customHeight="1" x14ac:dyDescent="0.25">
      <c r="A168" s="61" t="s">
        <v>456</v>
      </c>
      <c r="B168" s="275" t="s">
        <v>260</v>
      </c>
      <c r="C168" s="61" t="s">
        <v>204</v>
      </c>
      <c r="D168" s="337">
        <v>1</v>
      </c>
      <c r="E168" s="59">
        <f t="shared" si="9"/>
        <v>210000</v>
      </c>
      <c r="F168" s="276">
        <f t="shared" si="10"/>
        <v>210000</v>
      </c>
      <c r="G168" s="253">
        <v>150000</v>
      </c>
      <c r="H168" s="277">
        <v>1.4</v>
      </c>
      <c r="I168" s="277"/>
    </row>
    <row r="169" spans="1:9" ht="15" customHeight="1" x14ac:dyDescent="0.25">
      <c r="A169" s="61"/>
      <c r="B169" s="275"/>
      <c r="C169" s="61"/>
      <c r="D169" s="337"/>
      <c r="E169" s="59">
        <f t="shared" si="9"/>
        <v>0</v>
      </c>
      <c r="F169" s="278"/>
      <c r="H169" s="277"/>
      <c r="I169" s="277"/>
    </row>
    <row r="170" spans="1:9" ht="20.100000000000001" customHeight="1" x14ac:dyDescent="0.25">
      <c r="A170" s="280"/>
      <c r="B170" s="281" t="s">
        <v>457</v>
      </c>
      <c r="C170" s="282" t="s">
        <v>458</v>
      </c>
      <c r="D170" s="338">
        <v>1</v>
      </c>
      <c r="E170" s="59">
        <f t="shared" si="9"/>
        <v>56971212</v>
      </c>
      <c r="F170" s="276">
        <f t="shared" si="10"/>
        <v>56971212</v>
      </c>
      <c r="G170" s="260">
        <v>47476010</v>
      </c>
      <c r="H170" s="277">
        <v>1.2</v>
      </c>
      <c r="I170" s="285"/>
    </row>
    <row r="171" spans="1:9" s="352" customFormat="1" ht="20.100000000000001" customHeight="1" x14ac:dyDescent="0.25">
      <c r="A171" s="344"/>
      <c r="B171" s="345" t="s">
        <v>459</v>
      </c>
      <c r="C171" s="346"/>
      <c r="D171" s="347"/>
      <c r="E171" s="348"/>
      <c r="F171" s="348"/>
      <c r="G171" s="349"/>
      <c r="H171" s="350"/>
      <c r="I171" s="351"/>
    </row>
    <row r="172" spans="1:9" s="352" customFormat="1" ht="20.100000000000001" customHeight="1" x14ac:dyDescent="0.25">
      <c r="A172" s="344"/>
      <c r="B172" s="345" t="s">
        <v>460</v>
      </c>
      <c r="C172" s="346"/>
      <c r="D172" s="347"/>
      <c r="E172" s="348"/>
      <c r="F172" s="348"/>
      <c r="G172" s="349"/>
      <c r="H172" s="350"/>
      <c r="I172" s="351"/>
    </row>
    <row r="173" spans="1:9" s="352" customFormat="1" ht="20.100000000000001" customHeight="1" x14ac:dyDescent="0.25">
      <c r="A173" s="344"/>
      <c r="B173" s="345" t="s">
        <v>461</v>
      </c>
      <c r="C173" s="346"/>
      <c r="D173" s="347"/>
      <c r="E173" s="348"/>
      <c r="F173" s="348"/>
      <c r="G173" s="349"/>
      <c r="H173" s="350"/>
      <c r="I173" s="351"/>
    </row>
    <row r="174" spans="1:9" s="352" customFormat="1" ht="20.100000000000001" customHeight="1" x14ac:dyDescent="0.25">
      <c r="A174" s="344"/>
      <c r="B174" s="345" t="s">
        <v>462</v>
      </c>
      <c r="C174" s="346"/>
      <c r="D174" s="347"/>
      <c r="E174" s="348"/>
      <c r="F174" s="348"/>
      <c r="G174" s="349"/>
      <c r="H174" s="350"/>
      <c r="I174" s="351"/>
    </row>
    <row r="175" spans="1:9" s="352" customFormat="1" ht="20.100000000000001" customHeight="1" x14ac:dyDescent="0.25">
      <c r="A175" s="344"/>
      <c r="B175" s="345" t="s">
        <v>463</v>
      </c>
      <c r="C175" s="346"/>
      <c r="D175" s="347"/>
      <c r="E175" s="348"/>
      <c r="F175" s="348"/>
      <c r="G175" s="349"/>
      <c r="H175" s="350"/>
      <c r="I175" s="351"/>
    </row>
    <row r="176" spans="1:9" s="352" customFormat="1" ht="20.100000000000001" customHeight="1" x14ac:dyDescent="0.25">
      <c r="A176" s="344"/>
      <c r="B176" s="345" t="s">
        <v>464</v>
      </c>
      <c r="C176" s="346"/>
      <c r="D176" s="347"/>
      <c r="E176" s="348"/>
      <c r="F176" s="348"/>
      <c r="G176" s="349"/>
      <c r="H176" s="350"/>
      <c r="I176" s="351"/>
    </row>
    <row r="177" spans="1:9" s="352" customFormat="1" ht="20.100000000000001" customHeight="1" x14ac:dyDescent="0.25">
      <c r="A177" s="344"/>
      <c r="B177" s="345" t="s">
        <v>465</v>
      </c>
      <c r="C177" s="346"/>
      <c r="D177" s="347"/>
      <c r="E177" s="348"/>
      <c r="F177" s="348"/>
      <c r="G177" s="349"/>
      <c r="H177" s="350"/>
      <c r="I177" s="351"/>
    </row>
    <row r="178" spans="1:9" s="352" customFormat="1" ht="20.100000000000001" customHeight="1" x14ac:dyDescent="0.25">
      <c r="A178" s="344"/>
      <c r="B178" s="345" t="s">
        <v>466</v>
      </c>
      <c r="C178" s="346"/>
      <c r="D178" s="347"/>
      <c r="E178" s="348"/>
      <c r="F178" s="348"/>
      <c r="G178" s="349"/>
      <c r="H178" s="350"/>
      <c r="I178" s="351"/>
    </row>
    <row r="179" spans="1:9" s="352" customFormat="1" ht="20.100000000000001" customHeight="1" x14ac:dyDescent="0.25">
      <c r="A179" s="344"/>
      <c r="B179" s="345" t="s">
        <v>467</v>
      </c>
      <c r="C179" s="346"/>
      <c r="D179" s="347"/>
      <c r="E179" s="348"/>
      <c r="F179" s="348"/>
      <c r="G179" s="349"/>
      <c r="H179" s="350"/>
      <c r="I179" s="351"/>
    </row>
    <row r="180" spans="1:9" s="352" customFormat="1" ht="20.100000000000001" customHeight="1" x14ac:dyDescent="0.25">
      <c r="A180" s="344"/>
      <c r="B180" s="345" t="s">
        <v>468</v>
      </c>
      <c r="C180" s="346"/>
      <c r="D180" s="347"/>
      <c r="E180" s="348"/>
      <c r="F180" s="348"/>
      <c r="G180" s="349"/>
      <c r="H180" s="350"/>
      <c r="I180" s="351"/>
    </row>
    <row r="181" spans="1:9" ht="20.100000000000001" customHeight="1" x14ac:dyDescent="0.25">
      <c r="A181" s="280"/>
      <c r="B181" s="281" t="s">
        <v>469</v>
      </c>
      <c r="C181" s="282"/>
      <c r="D181" s="338"/>
      <c r="E181" s="284"/>
      <c r="F181" s="284"/>
      <c r="G181" s="260"/>
      <c r="H181" s="277"/>
      <c r="I181" s="285"/>
    </row>
    <row r="182" spans="1:9" ht="20.100000000000001" customHeight="1" x14ac:dyDescent="0.25">
      <c r="A182" s="280"/>
      <c r="B182" s="295" t="s">
        <v>470</v>
      </c>
      <c r="C182" s="296"/>
      <c r="D182" s="340"/>
      <c r="E182" s="284"/>
      <c r="F182" s="284"/>
      <c r="G182" s="260"/>
      <c r="H182" s="277"/>
      <c r="I182" s="285"/>
    </row>
    <row r="183" spans="1:9" s="306" customFormat="1" ht="20.100000000000001" customHeight="1" x14ac:dyDescent="0.25">
      <c r="A183" s="298"/>
      <c r="B183" s="299" t="s">
        <v>471</v>
      </c>
      <c r="C183" s="300" t="s">
        <v>472</v>
      </c>
      <c r="D183" s="341">
        <v>120</v>
      </c>
      <c r="E183" s="302"/>
      <c r="F183" s="302"/>
      <c r="G183" s="303"/>
      <c r="H183" s="304"/>
      <c r="I183" s="305"/>
    </row>
    <row r="184" spans="1:9" ht="20.100000000000001" customHeight="1" x14ac:dyDescent="0.25">
      <c r="A184" s="280"/>
      <c r="B184" s="307" t="s">
        <v>473</v>
      </c>
      <c r="C184" s="296"/>
      <c r="D184" s="340"/>
      <c r="E184" s="284"/>
      <c r="F184" s="284"/>
      <c r="G184" s="260"/>
      <c r="H184" s="277"/>
      <c r="I184" s="285"/>
    </row>
    <row r="185" spans="1:9" ht="20.100000000000001" customHeight="1" x14ac:dyDescent="0.25">
      <c r="A185" s="308"/>
      <c r="B185" s="309"/>
      <c r="C185" s="296"/>
      <c r="D185" s="342"/>
      <c r="E185" s="311"/>
      <c r="F185" s="284"/>
      <c r="G185" s="260"/>
      <c r="H185" s="277"/>
      <c r="I185" s="285"/>
    </row>
    <row r="186" spans="1:9" ht="20.100000000000001" customHeight="1" x14ac:dyDescent="0.25">
      <c r="A186" s="200"/>
      <c r="B186" s="312"/>
      <c r="C186" s="313"/>
      <c r="D186" s="339"/>
      <c r="E186" s="315"/>
      <c r="F186" s="316"/>
    </row>
    <row r="187" spans="1:9" ht="20.100000000000001" customHeight="1" x14ac:dyDescent="0.25">
      <c r="A187" s="317"/>
      <c r="B187" s="318"/>
      <c r="C187" s="319"/>
      <c r="D187" s="343"/>
      <c r="E187" s="321"/>
      <c r="F187" s="322"/>
      <c r="G187" s="323"/>
    </row>
    <row r="188" spans="1:9" s="100" customFormat="1" ht="20.100000000000001" customHeight="1" x14ac:dyDescent="0.25">
      <c r="A188" s="453" t="s">
        <v>474</v>
      </c>
      <c r="B188" s="453"/>
      <c r="C188" s="453"/>
      <c r="D188" s="453"/>
      <c r="E188" s="453"/>
      <c r="F188" s="324">
        <f>SUM(F14:F186)</f>
        <v>647076926.79999995</v>
      </c>
      <c r="G188" s="260"/>
    </row>
    <row r="189" spans="1:9" s="100" customFormat="1" ht="20.100000000000001" customHeight="1" x14ac:dyDescent="0.25">
      <c r="A189" s="453" t="s">
        <v>475</v>
      </c>
      <c r="B189" s="453"/>
      <c r="C189" s="453"/>
      <c r="D189" s="453"/>
      <c r="E189" s="453"/>
      <c r="F189" s="325">
        <f>+F188*0.18</f>
        <v>116473846.82399999</v>
      </c>
      <c r="G189" s="260"/>
    </row>
    <row r="190" spans="1:9" s="100" customFormat="1" ht="20.100000000000001" customHeight="1" x14ac:dyDescent="0.25">
      <c r="A190" s="453" t="s">
        <v>476</v>
      </c>
      <c r="B190" s="453"/>
      <c r="C190" s="453"/>
      <c r="D190" s="453"/>
      <c r="E190" s="453"/>
      <c r="F190" s="324">
        <f>SUM(F188:F189)</f>
        <v>763550773.62399995</v>
      </c>
      <c r="G190" s="260"/>
    </row>
    <row r="191" spans="1:9" s="100" customFormat="1" x14ac:dyDescent="0.25">
      <c r="D191" s="161"/>
      <c r="E191" s="260"/>
      <c r="F191" s="264"/>
      <c r="G191" s="260"/>
    </row>
    <row r="192" spans="1:9" s="100" customFormat="1" x14ac:dyDescent="0.25">
      <c r="A192" s="326" t="s">
        <v>477</v>
      </c>
      <c r="D192" s="161"/>
      <c r="E192" s="260"/>
      <c r="F192" s="264"/>
      <c r="G192" s="260"/>
    </row>
    <row r="193" spans="1:7" s="100" customFormat="1" x14ac:dyDescent="0.25">
      <c r="D193" s="161"/>
      <c r="E193" s="260"/>
      <c r="F193" s="264"/>
      <c r="G193" s="260"/>
    </row>
    <row r="194" spans="1:7" s="100" customFormat="1" x14ac:dyDescent="0.25">
      <c r="D194" s="161"/>
      <c r="E194" s="260"/>
      <c r="F194" s="264"/>
      <c r="G194" s="260"/>
    </row>
    <row r="195" spans="1:7" s="100" customFormat="1" x14ac:dyDescent="0.25">
      <c r="D195" s="161"/>
      <c r="E195" s="260"/>
      <c r="F195" s="264"/>
      <c r="G195" s="260"/>
    </row>
    <row r="196" spans="1:7" s="100" customFormat="1" x14ac:dyDescent="0.25">
      <c r="A196" s="327" t="s">
        <v>478</v>
      </c>
      <c r="D196" s="161"/>
      <c r="E196" s="260"/>
      <c r="F196" s="264"/>
      <c r="G196" s="260"/>
    </row>
    <row r="197" spans="1:7" s="100" customFormat="1" x14ac:dyDescent="0.25">
      <c r="D197" s="161"/>
      <c r="E197" s="260"/>
      <c r="F197" s="264"/>
      <c r="G197" s="260"/>
    </row>
  </sheetData>
  <mergeCells count="3">
    <mergeCell ref="A188:E188"/>
    <mergeCell ref="A189:E189"/>
    <mergeCell ref="A190:E190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5">
    <outlinePr summaryBelow="0" summaryRight="0"/>
  </sheetPr>
  <dimension ref="A1:AI5"/>
  <sheetViews>
    <sheetView workbookViewId="0">
      <pane xSplit="11" ySplit="2" topLeftCell="AJ3" activePane="bottomRight" state="frozen"/>
      <selection activeCell="L4" sqref="L4"/>
      <selection pane="topRight" activeCell="L4" sqref="L4"/>
      <selection pane="bottomLeft" activeCell="L4" sqref="L4"/>
      <selection pane="bottomRight" activeCell="E19" sqref="E19"/>
    </sheetView>
  </sheetViews>
  <sheetFormatPr baseColWidth="10" defaultColWidth="9.140625" defaultRowHeight="15" outlineLevelCol="1" x14ac:dyDescent="0.25"/>
  <cols>
    <col min="1" max="1" width="5.140625" customWidth="1"/>
    <col min="2" max="2" width="29.85546875" style="13" customWidth="1"/>
    <col min="3" max="3" width="8.140625" customWidth="1"/>
    <col min="4" max="4" width="10.28515625" style="16" customWidth="1"/>
    <col min="5" max="5" width="20.7109375" style="14" customWidth="1"/>
    <col min="6" max="6" width="15.28515625" style="15" customWidth="1" collapsed="1"/>
    <col min="7" max="7" width="16.5703125" style="15" hidden="1" customWidth="1" outlineLevel="1"/>
    <col min="8" max="8" width="13.85546875" style="15" hidden="1" customWidth="1" outlineLevel="1"/>
    <col min="9" max="9" width="17.7109375" style="15" hidden="1" customWidth="1" outlineLevel="1"/>
    <col min="10" max="10" width="18.5703125" style="15" hidden="1" customWidth="1" outlineLevel="1"/>
    <col min="11" max="11" width="12.85546875" style="15" customWidth="1" collapsed="1"/>
    <col min="12" max="12" width="14.28515625" style="16" hidden="1" customWidth="1" outlineLevel="1"/>
    <col min="13" max="30" width="12" hidden="1" customWidth="1" outlineLevel="1"/>
    <col min="31" max="31" width="12.5703125" hidden="1" customWidth="1" outlineLevel="1"/>
    <col min="32" max="35" width="12" hidden="1" customWidth="1" outlineLevel="1"/>
  </cols>
  <sheetData>
    <row r="1" spans="1:35" ht="26.25" x14ac:dyDescent="0.4">
      <c r="A1" s="18" t="s">
        <v>72</v>
      </c>
      <c r="E1" s="17"/>
      <c r="F1" s="16"/>
      <c r="I1" s="16"/>
      <c r="K1" s="10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5" ht="45" x14ac:dyDescent="0.25">
      <c r="A2" s="33" t="s">
        <v>1</v>
      </c>
      <c r="B2" s="33" t="s">
        <v>35</v>
      </c>
      <c r="C2" s="33" t="s">
        <v>26</v>
      </c>
      <c r="D2" s="34" t="s">
        <v>36</v>
      </c>
      <c r="E2" s="33" t="s">
        <v>38</v>
      </c>
      <c r="F2" s="41" t="s">
        <v>60</v>
      </c>
      <c r="G2" s="41" t="s">
        <v>65</v>
      </c>
      <c r="H2" s="33" t="s">
        <v>66</v>
      </c>
      <c r="I2" s="41" t="s">
        <v>67</v>
      </c>
      <c r="J2" s="33" t="s">
        <v>39</v>
      </c>
      <c r="K2" s="33" t="s">
        <v>41</v>
      </c>
      <c r="L2" s="22" t="s">
        <v>3</v>
      </c>
      <c r="M2" s="4" t="s">
        <v>4</v>
      </c>
      <c r="N2" s="4" t="s">
        <v>5</v>
      </c>
      <c r="O2" s="4" t="s">
        <v>6</v>
      </c>
      <c r="P2" s="4" t="s">
        <v>7</v>
      </c>
      <c r="Q2" s="4" t="s">
        <v>8</v>
      </c>
      <c r="R2" s="4" t="s">
        <v>9</v>
      </c>
      <c r="S2" s="4" t="s">
        <v>10</v>
      </c>
      <c r="T2" s="4" t="s">
        <v>11</v>
      </c>
      <c r="U2" s="4" t="s">
        <v>12</v>
      </c>
      <c r="V2" s="4" t="s">
        <v>13</v>
      </c>
      <c r="W2" s="4" t="s">
        <v>14</v>
      </c>
      <c r="X2" s="4" t="s">
        <v>15</v>
      </c>
      <c r="Y2" s="4" t="s">
        <v>16</v>
      </c>
      <c r="Z2" s="4" t="s">
        <v>17</v>
      </c>
      <c r="AA2" s="4" t="s">
        <v>18</v>
      </c>
      <c r="AB2" s="4" t="s">
        <v>19</v>
      </c>
      <c r="AC2" s="4" t="s">
        <v>20</v>
      </c>
      <c r="AD2" s="4" t="s">
        <v>27</v>
      </c>
      <c r="AE2" s="4" t="s">
        <v>28</v>
      </c>
      <c r="AF2" s="4" t="s">
        <v>29</v>
      </c>
      <c r="AG2" s="4" t="s">
        <v>30</v>
      </c>
      <c r="AH2" s="4" t="s">
        <v>31</v>
      </c>
      <c r="AI2" s="4" t="s">
        <v>32</v>
      </c>
    </row>
    <row r="3" spans="1:35" x14ac:dyDescent="0.25">
      <c r="A3" s="35"/>
      <c r="B3" s="35"/>
      <c r="C3" s="36"/>
      <c r="D3" s="37"/>
      <c r="E3" s="37"/>
      <c r="F3" s="38">
        <f>Investissement[[#This Row],[Prix unitaire (HT)]]*Investissement[[#This Row],[Qté]]</f>
        <v>0</v>
      </c>
      <c r="G3" s="37"/>
      <c r="H3" s="37"/>
      <c r="I3" s="38">
        <f>Investissement[[#This Row],[Prix total
  HD (HT)]]+Investissement[[#This Row],[Transport Maritime Total]]+Investissement[[#This Row],[Douan Total]]</f>
        <v>0</v>
      </c>
      <c r="J3" s="42"/>
      <c r="K3" s="43">
        <f>SUM(Investissement[[#This Row],[M01]:[M24]])</f>
        <v>0</v>
      </c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</row>
    <row r="4" spans="1:35" x14ac:dyDescent="0.25">
      <c r="A4" s="35"/>
      <c r="B4" s="35"/>
      <c r="C4" s="36"/>
      <c r="D4" s="37"/>
      <c r="E4" s="37"/>
      <c r="F4" s="38">
        <f>Investissement[[#This Row],[Prix unitaire (HT)]]*Investissement[[#This Row],[Qté]]</f>
        <v>0</v>
      </c>
      <c r="G4" s="37"/>
      <c r="H4" s="37"/>
      <c r="I4" s="38">
        <f>Investissement[[#This Row],[Prix total
  HD (HT)]]+Investissement[[#This Row],[Transport Maritime Total]]+Investissement[[#This Row],[Douan Total]]</f>
        <v>0</v>
      </c>
      <c r="J4" s="42"/>
      <c r="K4" s="43">
        <f>SUM(Investissement[[#This Row],[M01]:[M24]])</f>
        <v>0</v>
      </c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</row>
    <row r="5" spans="1:35" ht="15.75" x14ac:dyDescent="0.25">
      <c r="B5"/>
      <c r="C5" s="4"/>
      <c r="D5"/>
      <c r="E5" s="31"/>
      <c r="F5" s="31"/>
      <c r="G5" s="57"/>
      <c r="H5" s="57"/>
      <c r="I5" s="57"/>
      <c r="J5"/>
      <c r="K5" s="58" t="s">
        <v>43</v>
      </c>
      <c r="L5" s="55">
        <f ca="1">IFERROR(SUMPRODUCT(INDIRECT("Investissement[Prix total
Inc-Douane transport]"),Investissement[M01]),0)</f>
        <v>0</v>
      </c>
      <c r="M5" s="55">
        <f ca="1">IFERROR(SUMPRODUCT(INDIRECT("Investissement[Prix total
Inc-Douane transport]"),Investissement[M02]),0)</f>
        <v>0</v>
      </c>
      <c r="N5" s="55">
        <f ca="1">IFERROR(SUMPRODUCT(INDIRECT("Investissement[Prix total
Inc-Douane transport]"),Investissement[M03]),0)</f>
        <v>0</v>
      </c>
      <c r="O5" s="55">
        <f ca="1">IFERROR(SUMPRODUCT(INDIRECT("Investissement[Prix total
Inc-Douane transport]"),Investissement[M04]),0)</f>
        <v>0</v>
      </c>
      <c r="P5" s="55">
        <f ca="1">IFERROR(SUMPRODUCT(INDIRECT("Investissement[Prix total
Inc-Douane transport]"),Investissement[M05]),0)</f>
        <v>0</v>
      </c>
      <c r="Q5" s="55">
        <f ca="1">IFERROR(SUMPRODUCT(INDIRECT("Investissement[Prix total
Inc-Douane transport]"),Investissement[M06]),0)</f>
        <v>0</v>
      </c>
      <c r="R5" s="55">
        <f ca="1">IFERROR(SUMPRODUCT(INDIRECT("Investissement[Prix total
Inc-Douane transport]"),Investissement[M07]),0)</f>
        <v>0</v>
      </c>
      <c r="S5" s="55">
        <f ca="1">IFERROR(SUMPRODUCT(INDIRECT("Investissement[Prix total
Inc-Douane transport]"),Investissement[M08]),0)</f>
        <v>0</v>
      </c>
      <c r="T5" s="55">
        <f ca="1">IFERROR(SUMPRODUCT(INDIRECT("Investissement[Prix total
Inc-Douane transport]"),Investissement[M09]),0)</f>
        <v>0</v>
      </c>
      <c r="U5" s="55">
        <f ca="1">IFERROR(SUMPRODUCT(INDIRECT("Investissement[Prix total
Inc-Douane transport]"),Investissement[M10]),0)</f>
        <v>0</v>
      </c>
      <c r="V5" s="55">
        <f ca="1">IFERROR(SUMPRODUCT(INDIRECT("Investissement[Prix total
Inc-Douane transport]"),Investissement[M11]),0)</f>
        <v>0</v>
      </c>
      <c r="W5" s="55">
        <f ca="1">IFERROR(SUMPRODUCT(INDIRECT("Investissement[Prix total
Inc-Douane transport]"),Investissement[M12]),0)</f>
        <v>0</v>
      </c>
      <c r="X5" s="55">
        <f ca="1">IFERROR(SUMPRODUCT(INDIRECT("Investissement[Prix total
Inc-Douane transport]"),Investissement[M13]),0)</f>
        <v>0</v>
      </c>
      <c r="Y5" s="55">
        <f ca="1">IFERROR(SUMPRODUCT(INDIRECT("Investissement[Prix total
Inc-Douane transport]"),Investissement[M14]),0)</f>
        <v>0</v>
      </c>
      <c r="Z5" s="55">
        <f ca="1">IFERROR(SUMPRODUCT(INDIRECT("Investissement[Prix total
Inc-Douane transport]"),Investissement[M15]),0)</f>
        <v>0</v>
      </c>
      <c r="AA5" s="55">
        <f ca="1">IFERROR(SUMPRODUCT(INDIRECT("Investissement[Prix total
Inc-Douane transport]"),Investissement[M16]),0)</f>
        <v>0</v>
      </c>
      <c r="AB5" s="55">
        <f ca="1">IFERROR(SUMPRODUCT(INDIRECT("Investissement[Prix total
Inc-Douane transport]"),Investissement[M17]),0)</f>
        <v>0</v>
      </c>
      <c r="AC5" s="55">
        <f ca="1">IFERROR(SUMPRODUCT(INDIRECT("Investissement[Prix total
Inc-Douane transport]"),Investissement[M18]),0)</f>
        <v>0</v>
      </c>
      <c r="AD5" s="55">
        <f ca="1">IFERROR(SUMPRODUCT(INDIRECT("Investissement[Prix total
Inc-Douane transport]"),Investissement[M19]),0)</f>
        <v>0</v>
      </c>
      <c r="AE5" s="55">
        <f ca="1">IFERROR(SUMPRODUCT(INDIRECT("Investissement[Prix total
Inc-Douane transport]"),Investissement[M20]),0)</f>
        <v>0</v>
      </c>
      <c r="AF5" s="55">
        <f ca="1">IFERROR(SUMPRODUCT(INDIRECT("Investissement[Prix total
Inc-Douane transport]"),Investissement[M21]),0)</f>
        <v>0</v>
      </c>
      <c r="AG5" s="55">
        <f ca="1">IFERROR(SUMPRODUCT(INDIRECT("Investissement[Prix total
Inc-Douane transport]"),Investissement[M22]),0)</f>
        <v>0</v>
      </c>
      <c r="AH5" s="55">
        <f ca="1">IFERROR(SUMPRODUCT(INDIRECT("Investissement[Prix total
Inc-Douane transport]"),Investissement[M23]),0)</f>
        <v>0</v>
      </c>
      <c r="AI5" s="55">
        <f ca="1">IFERROR(SUMPRODUCT(INDIRECT("Investissement[Prix total
Inc-Douane transport]"),Investissement[M24]),0)</f>
        <v>0</v>
      </c>
    </row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6">
    <outlinePr summaryBelow="0" summaryRight="0"/>
  </sheetPr>
  <dimension ref="A1:BB101"/>
  <sheetViews>
    <sheetView workbookViewId="0">
      <pane xSplit="9" ySplit="2" topLeftCell="J3" activePane="bottomRight" state="frozen"/>
      <selection activeCell="F29" sqref="F29"/>
      <selection pane="topRight" activeCell="F29" sqref="F29"/>
      <selection pane="bottomLeft" activeCell="F29" sqref="F29"/>
      <selection pane="bottomRight" activeCell="K4" sqref="K4"/>
    </sheetView>
  </sheetViews>
  <sheetFormatPr baseColWidth="10" defaultRowHeight="15" x14ac:dyDescent="0.25"/>
  <cols>
    <col min="1" max="1" width="6.7109375" customWidth="1"/>
    <col min="2" max="2" width="5" customWidth="1"/>
    <col min="3" max="3" width="33.85546875" bestFit="1" customWidth="1"/>
    <col min="4" max="4" width="7" style="4" bestFit="1" customWidth="1"/>
    <col min="5" max="5" width="11.42578125" style="1"/>
    <col min="6" max="6" width="18.140625" customWidth="1"/>
    <col min="7" max="7" width="18" customWidth="1"/>
    <col min="8" max="8" width="18.5703125" bestFit="1" customWidth="1"/>
    <col min="9" max="9" width="14.7109375" customWidth="1"/>
    <col min="10" max="10" width="12.7109375" bestFit="1" customWidth="1"/>
  </cols>
  <sheetData>
    <row r="1" spans="1:54" ht="26.25" x14ac:dyDescent="0.4">
      <c r="A1" s="18" t="s">
        <v>62</v>
      </c>
      <c r="F1" s="20"/>
      <c r="G1" s="2"/>
      <c r="I1" s="10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</row>
    <row r="2" spans="1:54" x14ac:dyDescent="0.25">
      <c r="A2" s="4" t="s">
        <v>1</v>
      </c>
      <c r="B2" s="4" t="s">
        <v>2</v>
      </c>
      <c r="C2" s="4" t="s">
        <v>35</v>
      </c>
      <c r="D2" s="4" t="s">
        <v>26</v>
      </c>
      <c r="E2" s="19" t="s">
        <v>36</v>
      </c>
      <c r="F2" s="4" t="s">
        <v>38</v>
      </c>
      <c r="G2" s="4" t="s">
        <v>40</v>
      </c>
      <c r="H2" s="4" t="s">
        <v>39</v>
      </c>
      <c r="I2" s="4" t="s">
        <v>41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4" t="s">
        <v>10</v>
      </c>
      <c r="R2" s="4" t="s">
        <v>11</v>
      </c>
      <c r="S2" s="4" t="s">
        <v>12</v>
      </c>
      <c r="T2" s="4" t="s">
        <v>13</v>
      </c>
      <c r="U2" s="4" t="s">
        <v>14</v>
      </c>
      <c r="V2" s="4" t="s">
        <v>15</v>
      </c>
      <c r="W2" s="4" t="s">
        <v>16</v>
      </c>
      <c r="X2" s="4" t="s">
        <v>17</v>
      </c>
      <c r="Y2" s="4" t="s">
        <v>18</v>
      </c>
      <c r="Z2" s="4" t="s">
        <v>19</v>
      </c>
      <c r="AA2" s="4" t="s">
        <v>20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 x14ac:dyDescent="0.25">
      <c r="B3" s="5"/>
      <c r="E3" s="1">
        <v>1</v>
      </c>
      <c r="F3" s="1">
        <v>150000</v>
      </c>
      <c r="G3" s="1">
        <f>Installation_Chantier[[#This Row],[Prix unitaire (HT)]]*Installation_Chantier[[#This Row],[Qté]]</f>
        <v>150000</v>
      </c>
      <c r="I3" s="8">
        <f>SUM(Installation_Chantier[[#This Row],[M01]:[M24]])</f>
        <v>0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5.75" x14ac:dyDescent="0.25">
      <c r="A4" t="s">
        <v>63</v>
      </c>
      <c r="B4" s="26"/>
      <c r="E4" s="27"/>
      <c r="F4" s="27"/>
      <c r="G4" s="27"/>
      <c r="I4" s="28" t="s">
        <v>43</v>
      </c>
      <c r="J4" s="29">
        <f ca="1">IFERROR(SUMPRODUCT(INDIRECT("Installation_Chantier[Prix total (HT)]"),Installation_Chantier[M01]),0)</f>
        <v>0</v>
      </c>
      <c r="K4" s="29">
        <f ca="1">IFERROR(SUMPRODUCT(INDIRECT("Installation_Chantier[Prix total (HT)]"),Installation_Chantier[M02]),0)</f>
        <v>0</v>
      </c>
      <c r="L4" s="29">
        <f ca="1">IFERROR(SUMPRODUCT(INDIRECT("Installation_Chantier[Prix total (HT)]"),Installation_Chantier[M03]),0)</f>
        <v>0</v>
      </c>
      <c r="M4" s="29">
        <f ca="1">IFERROR(SUMPRODUCT(INDIRECT("Installation_Chantier[Prix total (HT)]"),Installation_Chantier[M04]),0)</f>
        <v>0</v>
      </c>
      <c r="N4" s="29">
        <f ca="1">IFERROR(SUMPRODUCT(INDIRECT("Installation_Chantier[Prix total (HT)]"),Installation_Chantier[M05]),0)</f>
        <v>0</v>
      </c>
      <c r="O4" s="29">
        <f ca="1">IFERROR(SUMPRODUCT(INDIRECT("Installation_Chantier[Prix total (HT)]"),Installation_Chantier[M06]),0)</f>
        <v>0</v>
      </c>
      <c r="P4" s="29">
        <f ca="1">IFERROR(SUMPRODUCT(INDIRECT("Installation_Chantier[Prix total (HT)]"),Installation_Chantier[M07]),0)</f>
        <v>0</v>
      </c>
      <c r="Q4" s="29">
        <f ca="1">IFERROR(SUMPRODUCT(INDIRECT("Installation_Chantier[Prix total (HT)]"),Installation_Chantier[M08]),0)</f>
        <v>0</v>
      </c>
      <c r="R4" s="29">
        <f ca="1">IFERROR(SUMPRODUCT(INDIRECT("Installation_Chantier[Prix total (HT)]"),Installation_Chantier[M09]),0)</f>
        <v>0</v>
      </c>
      <c r="S4" s="29">
        <f ca="1">IFERROR(SUMPRODUCT(INDIRECT("Installation_Chantier[Prix total (HT)]"),Installation_Chantier[M10]),0)</f>
        <v>0</v>
      </c>
      <c r="T4" s="29">
        <f ca="1">IFERROR(SUMPRODUCT(INDIRECT("Installation_Chantier[Prix total (HT)]"),Installation_Chantier[M11]),0)</f>
        <v>0</v>
      </c>
      <c r="U4" s="29">
        <f ca="1">IFERROR(SUMPRODUCT(INDIRECT("Installation_Chantier[Prix total (HT)]"),Installation_Chantier[M12]),0)</f>
        <v>0</v>
      </c>
      <c r="V4" s="29">
        <f ca="1">IFERROR(SUMPRODUCT(INDIRECT("Installation_Chantier[Prix total (HT)]"),Installation_Chantier[M13]),0)</f>
        <v>0</v>
      </c>
      <c r="W4" s="29">
        <f ca="1">IFERROR(SUMPRODUCT(INDIRECT("Installation_Chantier[Prix total (HT)]"),Installation_Chantier[M14]),0)</f>
        <v>0</v>
      </c>
      <c r="X4" s="29">
        <f ca="1">IFERROR(SUMPRODUCT(INDIRECT("Installation_Chantier[Prix total (HT)]"),Installation_Chantier[M15]),0)</f>
        <v>0</v>
      </c>
      <c r="Y4" s="29">
        <f ca="1">IFERROR(SUMPRODUCT(INDIRECT("Installation_Chantier[Prix total (HT)]"),Installation_Chantier[M16]),0)</f>
        <v>0</v>
      </c>
      <c r="Z4" s="29">
        <f ca="1">IFERROR(SUMPRODUCT(INDIRECT("Installation_Chantier[Prix total (HT)]"),Installation_Chantier[M17]),0)</f>
        <v>0</v>
      </c>
      <c r="AA4" s="29">
        <f ca="1">IFERROR(SUMPRODUCT(INDIRECT("Installation_Chantier[Prix total (HT)]"),Installation_Chantier[M18]),0)</f>
        <v>0</v>
      </c>
      <c r="AB4" s="29">
        <f ca="1">IFERROR(SUMPRODUCT(INDIRECT("Installation_Chantier[Prix total (HT)]"),Installation_Chantier[M19]),0)</f>
        <v>0</v>
      </c>
      <c r="AC4" s="29">
        <f ca="1">IFERROR(SUMPRODUCT(INDIRECT("Installation_Chantier[Prix total (HT)]"),Installation_Chantier[M20]),0)</f>
        <v>0</v>
      </c>
      <c r="AD4" s="29">
        <f ca="1">IFERROR(SUMPRODUCT(INDIRECT("Installation_Chantier[Prix total (HT)]"),Installation_Chantier[M21]),0)</f>
        <v>0</v>
      </c>
      <c r="AE4" s="29">
        <f ca="1">IFERROR(SUMPRODUCT(INDIRECT("Installation_Chantier[Prix total (HT)]"),Installation_Chantier[M22]),0)</f>
        <v>0</v>
      </c>
      <c r="AF4" s="29">
        <f ca="1">IFERROR(SUMPRODUCT(INDIRECT("Installation_Chantier[Prix total (HT)]"),Installation_Chantier[M23]),0)</f>
        <v>0</v>
      </c>
      <c r="AG4" s="29">
        <f ca="1">IFERROR(SUMPRODUCT(INDIRECT("Installation_Chantier[Prix total (HT)]"),Installation_Chantier[M24]),0)</f>
        <v>0</v>
      </c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x14ac:dyDescent="0.25"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x14ac:dyDescent="0.25"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x14ac:dyDescent="0.25"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x14ac:dyDescent="0.25"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x14ac:dyDescent="0.25"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x14ac:dyDescent="0.25"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x14ac:dyDescent="0.25"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x14ac:dyDescent="0.25"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x14ac:dyDescent="0.25"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x14ac:dyDescent="0.25"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x14ac:dyDescent="0.25"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x14ac:dyDescent="0.25"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34:54" x14ac:dyDescent="0.25"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34:54" x14ac:dyDescent="0.25"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34:54" x14ac:dyDescent="0.25"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34:54" x14ac:dyDescent="0.25"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34:54" x14ac:dyDescent="0.25"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34:54" x14ac:dyDescent="0.25"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34:54" x14ac:dyDescent="0.25"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34:54" x14ac:dyDescent="0.25"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34:54" x14ac:dyDescent="0.25"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34:54" x14ac:dyDescent="0.25"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34:54" x14ac:dyDescent="0.25"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34:54" x14ac:dyDescent="0.25"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34:54" x14ac:dyDescent="0.25"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34:54" x14ac:dyDescent="0.25"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34:54" x14ac:dyDescent="0.25"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34:54" x14ac:dyDescent="0.25"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34:54" x14ac:dyDescent="0.25"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34:54" x14ac:dyDescent="0.25"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34:54" x14ac:dyDescent="0.25"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34:54" x14ac:dyDescent="0.25"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34:54" x14ac:dyDescent="0.25"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34:54" x14ac:dyDescent="0.25"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34:54" x14ac:dyDescent="0.25"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  <row r="40" spans="34:54" x14ac:dyDescent="0.25"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spans="34:54" x14ac:dyDescent="0.25"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</row>
    <row r="42" spans="34:54" x14ac:dyDescent="0.25"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spans="34:54" x14ac:dyDescent="0.25"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</row>
    <row r="44" spans="34:54" x14ac:dyDescent="0.25"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spans="34:54" x14ac:dyDescent="0.25"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34:54" x14ac:dyDescent="0.25"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spans="34:54" x14ac:dyDescent="0.25"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spans="34:54" x14ac:dyDescent="0.25"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  <row r="49" spans="34:54" x14ac:dyDescent="0.25"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</row>
    <row r="50" spans="34:54" x14ac:dyDescent="0.25"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34:54" x14ac:dyDescent="0.25"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34:54" x14ac:dyDescent="0.25"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34:54" x14ac:dyDescent="0.25"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34:54" x14ac:dyDescent="0.25"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spans="34:54" x14ac:dyDescent="0.25"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34:54" x14ac:dyDescent="0.25"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34:54" x14ac:dyDescent="0.25"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spans="34:54" x14ac:dyDescent="0.25"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spans="34:54" x14ac:dyDescent="0.25"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</row>
    <row r="60" spans="34:54" x14ac:dyDescent="0.25"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</row>
    <row r="61" spans="34:54" x14ac:dyDescent="0.25"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</row>
    <row r="62" spans="34:54" x14ac:dyDescent="0.25"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  <row r="63" spans="34:54" x14ac:dyDescent="0.25"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</row>
    <row r="64" spans="34:54" x14ac:dyDescent="0.25"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34:54" x14ac:dyDescent="0.25"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</row>
    <row r="66" spans="34:54" x14ac:dyDescent="0.25"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spans="34:54" x14ac:dyDescent="0.25"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</row>
    <row r="68" spans="34:54" x14ac:dyDescent="0.25"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</row>
    <row r="69" spans="34:54" x14ac:dyDescent="0.25"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</row>
    <row r="70" spans="34:54" x14ac:dyDescent="0.25"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</row>
    <row r="71" spans="34:54" x14ac:dyDescent="0.25"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72" spans="34:54" x14ac:dyDescent="0.25"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</row>
    <row r="73" spans="34:54" x14ac:dyDescent="0.25"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74" spans="34:54" x14ac:dyDescent="0.25"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</row>
    <row r="75" spans="34:54" x14ac:dyDescent="0.25"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</row>
    <row r="76" spans="34:54" x14ac:dyDescent="0.25"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34:54" x14ac:dyDescent="0.25"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</row>
    <row r="78" spans="34:54" x14ac:dyDescent="0.25"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</row>
    <row r="79" spans="34:54" x14ac:dyDescent="0.25"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</row>
    <row r="80" spans="34:54" x14ac:dyDescent="0.25"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</row>
    <row r="81" spans="34:54" x14ac:dyDescent="0.25"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</row>
    <row r="82" spans="34:54" x14ac:dyDescent="0.25"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</row>
    <row r="83" spans="34:54" x14ac:dyDescent="0.25"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</row>
    <row r="84" spans="34:54" x14ac:dyDescent="0.25"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</row>
    <row r="85" spans="34:54" x14ac:dyDescent="0.25"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</row>
    <row r="86" spans="34:54" x14ac:dyDescent="0.25"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</row>
    <row r="87" spans="34:54" x14ac:dyDescent="0.25"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</row>
    <row r="88" spans="34:54" x14ac:dyDescent="0.25"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</row>
    <row r="89" spans="34:54" x14ac:dyDescent="0.25"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</row>
    <row r="90" spans="34:54" x14ac:dyDescent="0.25"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</row>
    <row r="91" spans="34:54" x14ac:dyDescent="0.25"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</row>
    <row r="92" spans="34:54" x14ac:dyDescent="0.25"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</row>
    <row r="93" spans="34:54" x14ac:dyDescent="0.25"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</row>
    <row r="94" spans="34:54" x14ac:dyDescent="0.25"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</row>
    <row r="95" spans="34:54" x14ac:dyDescent="0.25"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</row>
    <row r="96" spans="34:54" x14ac:dyDescent="0.25"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</row>
    <row r="97" spans="34:54" x14ac:dyDescent="0.25"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</row>
    <row r="98" spans="34:54" x14ac:dyDescent="0.25"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34:54" x14ac:dyDescent="0.25"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spans="34:54" x14ac:dyDescent="0.25"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</row>
    <row r="101" spans="34:54" x14ac:dyDescent="0.25"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16708-F877-497F-B192-496203873780}">
  <dimension ref="A1:J198"/>
  <sheetViews>
    <sheetView topLeftCell="A179" zoomScale="140" zoomScaleNormal="140" workbookViewId="0">
      <selection activeCell="D186" sqref="D186"/>
    </sheetView>
  </sheetViews>
  <sheetFormatPr baseColWidth="10" defaultColWidth="9.140625" defaultRowHeight="15.75" x14ac:dyDescent="0.25"/>
  <cols>
    <col min="1" max="1" width="8.42578125" style="328" customWidth="1"/>
    <col min="2" max="2" width="54.7109375" style="254" customWidth="1"/>
    <col min="3" max="3" width="7.85546875" style="254" customWidth="1"/>
    <col min="4" max="4" width="13.28515625" style="285" customWidth="1"/>
    <col min="5" max="5" width="14.140625" style="253" customWidth="1"/>
    <col min="6" max="7" width="16.42578125" style="329" customWidth="1"/>
    <col min="8" max="8" width="14.5703125" style="253" bestFit="1" customWidth="1"/>
    <col min="9" max="9" width="9.140625" style="254"/>
    <col min="10" max="10" width="15.140625" style="254" customWidth="1"/>
    <col min="11" max="257" width="9.140625" style="254"/>
    <col min="258" max="258" width="8.42578125" style="254" customWidth="1"/>
    <col min="259" max="259" width="54.7109375" style="254" customWidth="1"/>
    <col min="260" max="260" width="7.85546875" style="254" customWidth="1"/>
    <col min="261" max="261" width="10" style="254" customWidth="1"/>
    <col min="262" max="262" width="20.5703125" style="254" customWidth="1"/>
    <col min="263" max="263" width="15.7109375" style="254" bestFit="1" customWidth="1"/>
    <col min="264" max="264" width="14.5703125" style="254" bestFit="1" customWidth="1"/>
    <col min="265" max="513" width="9.140625" style="254"/>
    <col min="514" max="514" width="8.42578125" style="254" customWidth="1"/>
    <col min="515" max="515" width="54.7109375" style="254" customWidth="1"/>
    <col min="516" max="516" width="7.85546875" style="254" customWidth="1"/>
    <col min="517" max="517" width="10" style="254" customWidth="1"/>
    <col min="518" max="518" width="20.5703125" style="254" customWidth="1"/>
    <col min="519" max="519" width="15.7109375" style="254" bestFit="1" customWidth="1"/>
    <col min="520" max="520" width="14.5703125" style="254" bestFit="1" customWidth="1"/>
    <col min="521" max="769" width="9.140625" style="254"/>
    <col min="770" max="770" width="8.42578125" style="254" customWidth="1"/>
    <col min="771" max="771" width="54.7109375" style="254" customWidth="1"/>
    <col min="772" max="772" width="7.85546875" style="254" customWidth="1"/>
    <col min="773" max="773" width="10" style="254" customWidth="1"/>
    <col min="774" max="774" width="20.5703125" style="254" customWidth="1"/>
    <col min="775" max="775" width="15.7109375" style="254" bestFit="1" customWidth="1"/>
    <col min="776" max="776" width="14.5703125" style="254" bestFit="1" customWidth="1"/>
    <col min="777" max="1025" width="9.140625" style="254"/>
    <col min="1026" max="1026" width="8.42578125" style="254" customWidth="1"/>
    <col min="1027" max="1027" width="54.7109375" style="254" customWidth="1"/>
    <col min="1028" max="1028" width="7.85546875" style="254" customWidth="1"/>
    <col min="1029" max="1029" width="10" style="254" customWidth="1"/>
    <col min="1030" max="1030" width="20.5703125" style="254" customWidth="1"/>
    <col min="1031" max="1031" width="15.7109375" style="254" bestFit="1" customWidth="1"/>
    <col min="1032" max="1032" width="14.5703125" style="254" bestFit="1" customWidth="1"/>
    <col min="1033" max="1281" width="9.140625" style="254"/>
    <col min="1282" max="1282" width="8.42578125" style="254" customWidth="1"/>
    <col min="1283" max="1283" width="54.7109375" style="254" customWidth="1"/>
    <col min="1284" max="1284" width="7.85546875" style="254" customWidth="1"/>
    <col min="1285" max="1285" width="10" style="254" customWidth="1"/>
    <col min="1286" max="1286" width="20.5703125" style="254" customWidth="1"/>
    <col min="1287" max="1287" width="15.7109375" style="254" bestFit="1" customWidth="1"/>
    <col min="1288" max="1288" width="14.5703125" style="254" bestFit="1" customWidth="1"/>
    <col min="1289" max="1537" width="9.140625" style="254"/>
    <col min="1538" max="1538" width="8.42578125" style="254" customWidth="1"/>
    <col min="1539" max="1539" width="54.7109375" style="254" customWidth="1"/>
    <col min="1540" max="1540" width="7.85546875" style="254" customWidth="1"/>
    <col min="1541" max="1541" width="10" style="254" customWidth="1"/>
    <col min="1542" max="1542" width="20.5703125" style="254" customWidth="1"/>
    <col min="1543" max="1543" width="15.7109375" style="254" bestFit="1" customWidth="1"/>
    <col min="1544" max="1544" width="14.5703125" style="254" bestFit="1" customWidth="1"/>
    <col min="1545" max="1793" width="9.140625" style="254"/>
    <col min="1794" max="1794" width="8.42578125" style="254" customWidth="1"/>
    <col min="1795" max="1795" width="54.7109375" style="254" customWidth="1"/>
    <col min="1796" max="1796" width="7.85546875" style="254" customWidth="1"/>
    <col min="1797" max="1797" width="10" style="254" customWidth="1"/>
    <col min="1798" max="1798" width="20.5703125" style="254" customWidth="1"/>
    <col min="1799" max="1799" width="15.7109375" style="254" bestFit="1" customWidth="1"/>
    <col min="1800" max="1800" width="14.5703125" style="254" bestFit="1" customWidth="1"/>
    <col min="1801" max="2049" width="9.140625" style="254"/>
    <col min="2050" max="2050" width="8.42578125" style="254" customWidth="1"/>
    <col min="2051" max="2051" width="54.7109375" style="254" customWidth="1"/>
    <col min="2052" max="2052" width="7.85546875" style="254" customWidth="1"/>
    <col min="2053" max="2053" width="10" style="254" customWidth="1"/>
    <col min="2054" max="2054" width="20.5703125" style="254" customWidth="1"/>
    <col min="2055" max="2055" width="15.7109375" style="254" bestFit="1" customWidth="1"/>
    <col min="2056" max="2056" width="14.5703125" style="254" bestFit="1" customWidth="1"/>
    <col min="2057" max="2305" width="9.140625" style="254"/>
    <col min="2306" max="2306" width="8.42578125" style="254" customWidth="1"/>
    <col min="2307" max="2307" width="54.7109375" style="254" customWidth="1"/>
    <col min="2308" max="2308" width="7.85546875" style="254" customWidth="1"/>
    <col min="2309" max="2309" width="10" style="254" customWidth="1"/>
    <col min="2310" max="2310" width="20.5703125" style="254" customWidth="1"/>
    <col min="2311" max="2311" width="15.7109375" style="254" bestFit="1" customWidth="1"/>
    <col min="2312" max="2312" width="14.5703125" style="254" bestFit="1" customWidth="1"/>
    <col min="2313" max="2561" width="9.140625" style="254"/>
    <col min="2562" max="2562" width="8.42578125" style="254" customWidth="1"/>
    <col min="2563" max="2563" width="54.7109375" style="254" customWidth="1"/>
    <col min="2564" max="2564" width="7.85546875" style="254" customWidth="1"/>
    <col min="2565" max="2565" width="10" style="254" customWidth="1"/>
    <col min="2566" max="2566" width="20.5703125" style="254" customWidth="1"/>
    <col min="2567" max="2567" width="15.7109375" style="254" bestFit="1" customWidth="1"/>
    <col min="2568" max="2568" width="14.5703125" style="254" bestFit="1" customWidth="1"/>
    <col min="2569" max="2817" width="9.140625" style="254"/>
    <col min="2818" max="2818" width="8.42578125" style="254" customWidth="1"/>
    <col min="2819" max="2819" width="54.7109375" style="254" customWidth="1"/>
    <col min="2820" max="2820" width="7.85546875" style="254" customWidth="1"/>
    <col min="2821" max="2821" width="10" style="254" customWidth="1"/>
    <col min="2822" max="2822" width="20.5703125" style="254" customWidth="1"/>
    <col min="2823" max="2823" width="15.7109375" style="254" bestFit="1" customWidth="1"/>
    <col min="2824" max="2824" width="14.5703125" style="254" bestFit="1" customWidth="1"/>
    <col min="2825" max="3073" width="9.140625" style="254"/>
    <col min="3074" max="3074" width="8.42578125" style="254" customWidth="1"/>
    <col min="3075" max="3075" width="54.7109375" style="254" customWidth="1"/>
    <col min="3076" max="3076" width="7.85546875" style="254" customWidth="1"/>
    <col min="3077" max="3077" width="10" style="254" customWidth="1"/>
    <col min="3078" max="3078" width="20.5703125" style="254" customWidth="1"/>
    <col min="3079" max="3079" width="15.7109375" style="254" bestFit="1" customWidth="1"/>
    <col min="3080" max="3080" width="14.5703125" style="254" bestFit="1" customWidth="1"/>
    <col min="3081" max="3329" width="9.140625" style="254"/>
    <col min="3330" max="3330" width="8.42578125" style="254" customWidth="1"/>
    <col min="3331" max="3331" width="54.7109375" style="254" customWidth="1"/>
    <col min="3332" max="3332" width="7.85546875" style="254" customWidth="1"/>
    <col min="3333" max="3333" width="10" style="254" customWidth="1"/>
    <col min="3334" max="3334" width="20.5703125" style="254" customWidth="1"/>
    <col min="3335" max="3335" width="15.7109375" style="254" bestFit="1" customWidth="1"/>
    <col min="3336" max="3336" width="14.5703125" style="254" bestFit="1" customWidth="1"/>
    <col min="3337" max="3585" width="9.140625" style="254"/>
    <col min="3586" max="3586" width="8.42578125" style="254" customWidth="1"/>
    <col min="3587" max="3587" width="54.7109375" style="254" customWidth="1"/>
    <col min="3588" max="3588" width="7.85546875" style="254" customWidth="1"/>
    <col min="3589" max="3589" width="10" style="254" customWidth="1"/>
    <col min="3590" max="3590" width="20.5703125" style="254" customWidth="1"/>
    <col min="3591" max="3591" width="15.7109375" style="254" bestFit="1" customWidth="1"/>
    <col min="3592" max="3592" width="14.5703125" style="254" bestFit="1" customWidth="1"/>
    <col min="3593" max="3841" width="9.140625" style="254"/>
    <col min="3842" max="3842" width="8.42578125" style="254" customWidth="1"/>
    <col min="3843" max="3843" width="54.7109375" style="254" customWidth="1"/>
    <col min="3844" max="3844" width="7.85546875" style="254" customWidth="1"/>
    <col min="3845" max="3845" width="10" style="254" customWidth="1"/>
    <col min="3846" max="3846" width="20.5703125" style="254" customWidth="1"/>
    <col min="3847" max="3847" width="15.7109375" style="254" bestFit="1" customWidth="1"/>
    <col min="3848" max="3848" width="14.5703125" style="254" bestFit="1" customWidth="1"/>
    <col min="3849" max="4097" width="9.140625" style="254"/>
    <col min="4098" max="4098" width="8.42578125" style="254" customWidth="1"/>
    <col min="4099" max="4099" width="54.7109375" style="254" customWidth="1"/>
    <col min="4100" max="4100" width="7.85546875" style="254" customWidth="1"/>
    <col min="4101" max="4101" width="10" style="254" customWidth="1"/>
    <col min="4102" max="4102" width="20.5703125" style="254" customWidth="1"/>
    <col min="4103" max="4103" width="15.7109375" style="254" bestFit="1" customWidth="1"/>
    <col min="4104" max="4104" width="14.5703125" style="254" bestFit="1" customWidth="1"/>
    <col min="4105" max="4353" width="9.140625" style="254"/>
    <col min="4354" max="4354" width="8.42578125" style="254" customWidth="1"/>
    <col min="4355" max="4355" width="54.7109375" style="254" customWidth="1"/>
    <col min="4356" max="4356" width="7.85546875" style="254" customWidth="1"/>
    <col min="4357" max="4357" width="10" style="254" customWidth="1"/>
    <col min="4358" max="4358" width="20.5703125" style="254" customWidth="1"/>
    <col min="4359" max="4359" width="15.7109375" style="254" bestFit="1" customWidth="1"/>
    <col min="4360" max="4360" width="14.5703125" style="254" bestFit="1" customWidth="1"/>
    <col min="4361" max="4609" width="9.140625" style="254"/>
    <col min="4610" max="4610" width="8.42578125" style="254" customWidth="1"/>
    <col min="4611" max="4611" width="54.7109375" style="254" customWidth="1"/>
    <col min="4612" max="4612" width="7.85546875" style="254" customWidth="1"/>
    <col min="4613" max="4613" width="10" style="254" customWidth="1"/>
    <col min="4614" max="4614" width="20.5703125" style="254" customWidth="1"/>
    <col min="4615" max="4615" width="15.7109375" style="254" bestFit="1" customWidth="1"/>
    <col min="4616" max="4616" width="14.5703125" style="254" bestFit="1" customWidth="1"/>
    <col min="4617" max="4865" width="9.140625" style="254"/>
    <col min="4866" max="4866" width="8.42578125" style="254" customWidth="1"/>
    <col min="4867" max="4867" width="54.7109375" style="254" customWidth="1"/>
    <col min="4868" max="4868" width="7.85546875" style="254" customWidth="1"/>
    <col min="4869" max="4869" width="10" style="254" customWidth="1"/>
    <col min="4870" max="4870" width="20.5703125" style="254" customWidth="1"/>
    <col min="4871" max="4871" width="15.7109375" style="254" bestFit="1" customWidth="1"/>
    <col min="4872" max="4872" width="14.5703125" style="254" bestFit="1" customWidth="1"/>
    <col min="4873" max="5121" width="9.140625" style="254"/>
    <col min="5122" max="5122" width="8.42578125" style="254" customWidth="1"/>
    <col min="5123" max="5123" width="54.7109375" style="254" customWidth="1"/>
    <col min="5124" max="5124" width="7.85546875" style="254" customWidth="1"/>
    <col min="5125" max="5125" width="10" style="254" customWidth="1"/>
    <col min="5126" max="5126" width="20.5703125" style="254" customWidth="1"/>
    <col min="5127" max="5127" width="15.7109375" style="254" bestFit="1" customWidth="1"/>
    <col min="5128" max="5128" width="14.5703125" style="254" bestFit="1" customWidth="1"/>
    <col min="5129" max="5377" width="9.140625" style="254"/>
    <col min="5378" max="5378" width="8.42578125" style="254" customWidth="1"/>
    <col min="5379" max="5379" width="54.7109375" style="254" customWidth="1"/>
    <col min="5380" max="5380" width="7.85546875" style="254" customWidth="1"/>
    <col min="5381" max="5381" width="10" style="254" customWidth="1"/>
    <col min="5382" max="5382" width="20.5703125" style="254" customWidth="1"/>
    <col min="5383" max="5383" width="15.7109375" style="254" bestFit="1" customWidth="1"/>
    <col min="5384" max="5384" width="14.5703125" style="254" bestFit="1" customWidth="1"/>
    <col min="5385" max="5633" width="9.140625" style="254"/>
    <col min="5634" max="5634" width="8.42578125" style="254" customWidth="1"/>
    <col min="5635" max="5635" width="54.7109375" style="254" customWidth="1"/>
    <col min="5636" max="5636" width="7.85546875" style="254" customWidth="1"/>
    <col min="5637" max="5637" width="10" style="254" customWidth="1"/>
    <col min="5638" max="5638" width="20.5703125" style="254" customWidth="1"/>
    <col min="5639" max="5639" width="15.7109375" style="254" bestFit="1" customWidth="1"/>
    <col min="5640" max="5640" width="14.5703125" style="254" bestFit="1" customWidth="1"/>
    <col min="5641" max="5889" width="9.140625" style="254"/>
    <col min="5890" max="5890" width="8.42578125" style="254" customWidth="1"/>
    <col min="5891" max="5891" width="54.7109375" style="254" customWidth="1"/>
    <col min="5892" max="5892" width="7.85546875" style="254" customWidth="1"/>
    <col min="5893" max="5893" width="10" style="254" customWidth="1"/>
    <col min="5894" max="5894" width="20.5703125" style="254" customWidth="1"/>
    <col min="5895" max="5895" width="15.7109375" style="254" bestFit="1" customWidth="1"/>
    <col min="5896" max="5896" width="14.5703125" style="254" bestFit="1" customWidth="1"/>
    <col min="5897" max="6145" width="9.140625" style="254"/>
    <col min="6146" max="6146" width="8.42578125" style="254" customWidth="1"/>
    <col min="6147" max="6147" width="54.7109375" style="254" customWidth="1"/>
    <col min="6148" max="6148" width="7.85546875" style="254" customWidth="1"/>
    <col min="6149" max="6149" width="10" style="254" customWidth="1"/>
    <col min="6150" max="6150" width="20.5703125" style="254" customWidth="1"/>
    <col min="6151" max="6151" width="15.7109375" style="254" bestFit="1" customWidth="1"/>
    <col min="6152" max="6152" width="14.5703125" style="254" bestFit="1" customWidth="1"/>
    <col min="6153" max="6401" width="9.140625" style="254"/>
    <col min="6402" max="6402" width="8.42578125" style="254" customWidth="1"/>
    <col min="6403" max="6403" width="54.7109375" style="254" customWidth="1"/>
    <col min="6404" max="6404" width="7.85546875" style="254" customWidth="1"/>
    <col min="6405" max="6405" width="10" style="254" customWidth="1"/>
    <col min="6406" max="6406" width="20.5703125" style="254" customWidth="1"/>
    <col min="6407" max="6407" width="15.7109375" style="254" bestFit="1" customWidth="1"/>
    <col min="6408" max="6408" width="14.5703125" style="254" bestFit="1" customWidth="1"/>
    <col min="6409" max="6657" width="9.140625" style="254"/>
    <col min="6658" max="6658" width="8.42578125" style="254" customWidth="1"/>
    <col min="6659" max="6659" width="54.7109375" style="254" customWidth="1"/>
    <col min="6660" max="6660" width="7.85546875" style="254" customWidth="1"/>
    <col min="6661" max="6661" width="10" style="254" customWidth="1"/>
    <col min="6662" max="6662" width="20.5703125" style="254" customWidth="1"/>
    <col min="6663" max="6663" width="15.7109375" style="254" bestFit="1" customWidth="1"/>
    <col min="6664" max="6664" width="14.5703125" style="254" bestFit="1" customWidth="1"/>
    <col min="6665" max="6913" width="9.140625" style="254"/>
    <col min="6914" max="6914" width="8.42578125" style="254" customWidth="1"/>
    <col min="6915" max="6915" width="54.7109375" style="254" customWidth="1"/>
    <col min="6916" max="6916" width="7.85546875" style="254" customWidth="1"/>
    <col min="6917" max="6917" width="10" style="254" customWidth="1"/>
    <col min="6918" max="6918" width="20.5703125" style="254" customWidth="1"/>
    <col min="6919" max="6919" width="15.7109375" style="254" bestFit="1" customWidth="1"/>
    <col min="6920" max="6920" width="14.5703125" style="254" bestFit="1" customWidth="1"/>
    <col min="6921" max="7169" width="9.140625" style="254"/>
    <col min="7170" max="7170" width="8.42578125" style="254" customWidth="1"/>
    <col min="7171" max="7171" width="54.7109375" style="254" customWidth="1"/>
    <col min="7172" max="7172" width="7.85546875" style="254" customWidth="1"/>
    <col min="7173" max="7173" width="10" style="254" customWidth="1"/>
    <col min="7174" max="7174" width="20.5703125" style="254" customWidth="1"/>
    <col min="7175" max="7175" width="15.7109375" style="254" bestFit="1" customWidth="1"/>
    <col min="7176" max="7176" width="14.5703125" style="254" bestFit="1" customWidth="1"/>
    <col min="7177" max="7425" width="9.140625" style="254"/>
    <col min="7426" max="7426" width="8.42578125" style="254" customWidth="1"/>
    <col min="7427" max="7427" width="54.7109375" style="254" customWidth="1"/>
    <col min="7428" max="7428" width="7.85546875" style="254" customWidth="1"/>
    <col min="7429" max="7429" width="10" style="254" customWidth="1"/>
    <col min="7430" max="7430" width="20.5703125" style="254" customWidth="1"/>
    <col min="7431" max="7431" width="15.7109375" style="254" bestFit="1" customWidth="1"/>
    <col min="7432" max="7432" width="14.5703125" style="254" bestFit="1" customWidth="1"/>
    <col min="7433" max="7681" width="9.140625" style="254"/>
    <col min="7682" max="7682" width="8.42578125" style="254" customWidth="1"/>
    <col min="7683" max="7683" width="54.7109375" style="254" customWidth="1"/>
    <col min="7684" max="7684" width="7.85546875" style="254" customWidth="1"/>
    <col min="7685" max="7685" width="10" style="254" customWidth="1"/>
    <col min="7686" max="7686" width="20.5703125" style="254" customWidth="1"/>
    <col min="7687" max="7687" width="15.7109375" style="254" bestFit="1" customWidth="1"/>
    <col min="7688" max="7688" width="14.5703125" style="254" bestFit="1" customWidth="1"/>
    <col min="7689" max="7937" width="9.140625" style="254"/>
    <col min="7938" max="7938" width="8.42578125" style="254" customWidth="1"/>
    <col min="7939" max="7939" width="54.7109375" style="254" customWidth="1"/>
    <col min="7940" max="7940" width="7.85546875" style="254" customWidth="1"/>
    <col min="7941" max="7941" width="10" style="254" customWidth="1"/>
    <col min="7942" max="7942" width="20.5703125" style="254" customWidth="1"/>
    <col min="7943" max="7943" width="15.7109375" style="254" bestFit="1" customWidth="1"/>
    <col min="7944" max="7944" width="14.5703125" style="254" bestFit="1" customWidth="1"/>
    <col min="7945" max="8193" width="9.140625" style="254"/>
    <col min="8194" max="8194" width="8.42578125" style="254" customWidth="1"/>
    <col min="8195" max="8195" width="54.7109375" style="254" customWidth="1"/>
    <col min="8196" max="8196" width="7.85546875" style="254" customWidth="1"/>
    <col min="8197" max="8197" width="10" style="254" customWidth="1"/>
    <col min="8198" max="8198" width="20.5703125" style="254" customWidth="1"/>
    <col min="8199" max="8199" width="15.7109375" style="254" bestFit="1" customWidth="1"/>
    <col min="8200" max="8200" width="14.5703125" style="254" bestFit="1" customWidth="1"/>
    <col min="8201" max="8449" width="9.140625" style="254"/>
    <col min="8450" max="8450" width="8.42578125" style="254" customWidth="1"/>
    <col min="8451" max="8451" width="54.7109375" style="254" customWidth="1"/>
    <col min="8452" max="8452" width="7.85546875" style="254" customWidth="1"/>
    <col min="8453" max="8453" width="10" style="254" customWidth="1"/>
    <col min="8454" max="8454" width="20.5703125" style="254" customWidth="1"/>
    <col min="8455" max="8455" width="15.7109375" style="254" bestFit="1" customWidth="1"/>
    <col min="8456" max="8456" width="14.5703125" style="254" bestFit="1" customWidth="1"/>
    <col min="8457" max="8705" width="9.140625" style="254"/>
    <col min="8706" max="8706" width="8.42578125" style="254" customWidth="1"/>
    <col min="8707" max="8707" width="54.7109375" style="254" customWidth="1"/>
    <col min="8708" max="8708" width="7.85546875" style="254" customWidth="1"/>
    <col min="8709" max="8709" width="10" style="254" customWidth="1"/>
    <col min="8710" max="8710" width="20.5703125" style="254" customWidth="1"/>
    <col min="8711" max="8711" width="15.7109375" style="254" bestFit="1" customWidth="1"/>
    <col min="8712" max="8712" width="14.5703125" style="254" bestFit="1" customWidth="1"/>
    <col min="8713" max="8961" width="9.140625" style="254"/>
    <col min="8962" max="8962" width="8.42578125" style="254" customWidth="1"/>
    <col min="8963" max="8963" width="54.7109375" style="254" customWidth="1"/>
    <col min="8964" max="8964" width="7.85546875" style="254" customWidth="1"/>
    <col min="8965" max="8965" width="10" style="254" customWidth="1"/>
    <col min="8966" max="8966" width="20.5703125" style="254" customWidth="1"/>
    <col min="8967" max="8967" width="15.7109375" style="254" bestFit="1" customWidth="1"/>
    <col min="8968" max="8968" width="14.5703125" style="254" bestFit="1" customWidth="1"/>
    <col min="8969" max="9217" width="9.140625" style="254"/>
    <col min="9218" max="9218" width="8.42578125" style="254" customWidth="1"/>
    <col min="9219" max="9219" width="54.7109375" style="254" customWidth="1"/>
    <col min="9220" max="9220" width="7.85546875" style="254" customWidth="1"/>
    <col min="9221" max="9221" width="10" style="254" customWidth="1"/>
    <col min="9222" max="9222" width="20.5703125" style="254" customWidth="1"/>
    <col min="9223" max="9223" width="15.7109375" style="254" bestFit="1" customWidth="1"/>
    <col min="9224" max="9224" width="14.5703125" style="254" bestFit="1" customWidth="1"/>
    <col min="9225" max="9473" width="9.140625" style="254"/>
    <col min="9474" max="9474" width="8.42578125" style="254" customWidth="1"/>
    <col min="9475" max="9475" width="54.7109375" style="254" customWidth="1"/>
    <col min="9476" max="9476" width="7.85546875" style="254" customWidth="1"/>
    <col min="9477" max="9477" width="10" style="254" customWidth="1"/>
    <col min="9478" max="9478" width="20.5703125" style="254" customWidth="1"/>
    <col min="9479" max="9479" width="15.7109375" style="254" bestFit="1" customWidth="1"/>
    <col min="9480" max="9480" width="14.5703125" style="254" bestFit="1" customWidth="1"/>
    <col min="9481" max="9729" width="9.140625" style="254"/>
    <col min="9730" max="9730" width="8.42578125" style="254" customWidth="1"/>
    <col min="9731" max="9731" width="54.7109375" style="254" customWidth="1"/>
    <col min="9732" max="9732" width="7.85546875" style="254" customWidth="1"/>
    <col min="9733" max="9733" width="10" style="254" customWidth="1"/>
    <col min="9734" max="9734" width="20.5703125" style="254" customWidth="1"/>
    <col min="9735" max="9735" width="15.7109375" style="254" bestFit="1" customWidth="1"/>
    <col min="9736" max="9736" width="14.5703125" style="254" bestFit="1" customWidth="1"/>
    <col min="9737" max="9985" width="9.140625" style="254"/>
    <col min="9986" max="9986" width="8.42578125" style="254" customWidth="1"/>
    <col min="9987" max="9987" width="54.7109375" style="254" customWidth="1"/>
    <col min="9988" max="9988" width="7.85546875" style="254" customWidth="1"/>
    <col min="9989" max="9989" width="10" style="254" customWidth="1"/>
    <col min="9990" max="9990" width="20.5703125" style="254" customWidth="1"/>
    <col min="9991" max="9991" width="15.7109375" style="254" bestFit="1" customWidth="1"/>
    <col min="9992" max="9992" width="14.5703125" style="254" bestFit="1" customWidth="1"/>
    <col min="9993" max="10241" width="9.140625" style="254"/>
    <col min="10242" max="10242" width="8.42578125" style="254" customWidth="1"/>
    <col min="10243" max="10243" width="54.7109375" style="254" customWidth="1"/>
    <col min="10244" max="10244" width="7.85546875" style="254" customWidth="1"/>
    <col min="10245" max="10245" width="10" style="254" customWidth="1"/>
    <col min="10246" max="10246" width="20.5703125" style="254" customWidth="1"/>
    <col min="10247" max="10247" width="15.7109375" style="254" bestFit="1" customWidth="1"/>
    <col min="10248" max="10248" width="14.5703125" style="254" bestFit="1" customWidth="1"/>
    <col min="10249" max="10497" width="9.140625" style="254"/>
    <col min="10498" max="10498" width="8.42578125" style="254" customWidth="1"/>
    <col min="10499" max="10499" width="54.7109375" style="254" customWidth="1"/>
    <col min="10500" max="10500" width="7.85546875" style="254" customWidth="1"/>
    <col min="10501" max="10501" width="10" style="254" customWidth="1"/>
    <col min="10502" max="10502" width="20.5703125" style="254" customWidth="1"/>
    <col min="10503" max="10503" width="15.7109375" style="254" bestFit="1" customWidth="1"/>
    <col min="10504" max="10504" width="14.5703125" style="254" bestFit="1" customWidth="1"/>
    <col min="10505" max="10753" width="9.140625" style="254"/>
    <col min="10754" max="10754" width="8.42578125" style="254" customWidth="1"/>
    <col min="10755" max="10755" width="54.7109375" style="254" customWidth="1"/>
    <col min="10756" max="10756" width="7.85546875" style="254" customWidth="1"/>
    <col min="10757" max="10757" width="10" style="254" customWidth="1"/>
    <col min="10758" max="10758" width="20.5703125" style="254" customWidth="1"/>
    <col min="10759" max="10759" width="15.7109375" style="254" bestFit="1" customWidth="1"/>
    <col min="10760" max="10760" width="14.5703125" style="254" bestFit="1" customWidth="1"/>
    <col min="10761" max="11009" width="9.140625" style="254"/>
    <col min="11010" max="11010" width="8.42578125" style="254" customWidth="1"/>
    <col min="11011" max="11011" width="54.7109375" style="254" customWidth="1"/>
    <col min="11012" max="11012" width="7.85546875" style="254" customWidth="1"/>
    <col min="11013" max="11013" width="10" style="254" customWidth="1"/>
    <col min="11014" max="11014" width="20.5703125" style="254" customWidth="1"/>
    <col min="11015" max="11015" width="15.7109375" style="254" bestFit="1" customWidth="1"/>
    <col min="11016" max="11016" width="14.5703125" style="254" bestFit="1" customWidth="1"/>
    <col min="11017" max="11265" width="9.140625" style="254"/>
    <col min="11266" max="11266" width="8.42578125" style="254" customWidth="1"/>
    <col min="11267" max="11267" width="54.7109375" style="254" customWidth="1"/>
    <col min="11268" max="11268" width="7.85546875" style="254" customWidth="1"/>
    <col min="11269" max="11269" width="10" style="254" customWidth="1"/>
    <col min="11270" max="11270" width="20.5703125" style="254" customWidth="1"/>
    <col min="11271" max="11271" width="15.7109375" style="254" bestFit="1" customWidth="1"/>
    <col min="11272" max="11272" width="14.5703125" style="254" bestFit="1" customWidth="1"/>
    <col min="11273" max="11521" width="9.140625" style="254"/>
    <col min="11522" max="11522" width="8.42578125" style="254" customWidth="1"/>
    <col min="11523" max="11523" width="54.7109375" style="254" customWidth="1"/>
    <col min="11524" max="11524" width="7.85546875" style="254" customWidth="1"/>
    <col min="11525" max="11525" width="10" style="254" customWidth="1"/>
    <col min="11526" max="11526" width="20.5703125" style="254" customWidth="1"/>
    <col min="11527" max="11527" width="15.7109375" style="254" bestFit="1" customWidth="1"/>
    <col min="11528" max="11528" width="14.5703125" style="254" bestFit="1" customWidth="1"/>
    <col min="11529" max="11777" width="9.140625" style="254"/>
    <col min="11778" max="11778" width="8.42578125" style="254" customWidth="1"/>
    <col min="11779" max="11779" width="54.7109375" style="254" customWidth="1"/>
    <col min="11780" max="11780" width="7.85546875" style="254" customWidth="1"/>
    <col min="11781" max="11781" width="10" style="254" customWidth="1"/>
    <col min="11782" max="11782" width="20.5703125" style="254" customWidth="1"/>
    <col min="11783" max="11783" width="15.7109375" style="254" bestFit="1" customWidth="1"/>
    <col min="11784" max="11784" width="14.5703125" style="254" bestFit="1" customWidth="1"/>
    <col min="11785" max="12033" width="9.140625" style="254"/>
    <col min="12034" max="12034" width="8.42578125" style="254" customWidth="1"/>
    <col min="12035" max="12035" width="54.7109375" style="254" customWidth="1"/>
    <col min="12036" max="12036" width="7.85546875" style="254" customWidth="1"/>
    <col min="12037" max="12037" width="10" style="254" customWidth="1"/>
    <col min="12038" max="12038" width="20.5703125" style="254" customWidth="1"/>
    <col min="12039" max="12039" width="15.7109375" style="254" bestFit="1" customWidth="1"/>
    <col min="12040" max="12040" width="14.5703125" style="254" bestFit="1" customWidth="1"/>
    <col min="12041" max="12289" width="9.140625" style="254"/>
    <col min="12290" max="12290" width="8.42578125" style="254" customWidth="1"/>
    <col min="12291" max="12291" width="54.7109375" style="254" customWidth="1"/>
    <col min="12292" max="12292" width="7.85546875" style="254" customWidth="1"/>
    <col min="12293" max="12293" width="10" style="254" customWidth="1"/>
    <col min="12294" max="12294" width="20.5703125" style="254" customWidth="1"/>
    <col min="12295" max="12295" width="15.7109375" style="254" bestFit="1" customWidth="1"/>
    <col min="12296" max="12296" width="14.5703125" style="254" bestFit="1" customWidth="1"/>
    <col min="12297" max="12545" width="9.140625" style="254"/>
    <col min="12546" max="12546" width="8.42578125" style="254" customWidth="1"/>
    <col min="12547" max="12547" width="54.7109375" style="254" customWidth="1"/>
    <col min="12548" max="12548" width="7.85546875" style="254" customWidth="1"/>
    <col min="12549" max="12549" width="10" style="254" customWidth="1"/>
    <col min="12550" max="12550" width="20.5703125" style="254" customWidth="1"/>
    <col min="12551" max="12551" width="15.7109375" style="254" bestFit="1" customWidth="1"/>
    <col min="12552" max="12552" width="14.5703125" style="254" bestFit="1" customWidth="1"/>
    <col min="12553" max="12801" width="9.140625" style="254"/>
    <col min="12802" max="12802" width="8.42578125" style="254" customWidth="1"/>
    <col min="12803" max="12803" width="54.7109375" style="254" customWidth="1"/>
    <col min="12804" max="12804" width="7.85546875" style="254" customWidth="1"/>
    <col min="12805" max="12805" width="10" style="254" customWidth="1"/>
    <col min="12806" max="12806" width="20.5703125" style="254" customWidth="1"/>
    <col min="12807" max="12807" width="15.7109375" style="254" bestFit="1" customWidth="1"/>
    <col min="12808" max="12808" width="14.5703125" style="254" bestFit="1" customWidth="1"/>
    <col min="12809" max="13057" width="9.140625" style="254"/>
    <col min="13058" max="13058" width="8.42578125" style="254" customWidth="1"/>
    <col min="13059" max="13059" width="54.7109375" style="254" customWidth="1"/>
    <col min="13060" max="13060" width="7.85546875" style="254" customWidth="1"/>
    <col min="13061" max="13061" width="10" style="254" customWidth="1"/>
    <col min="13062" max="13062" width="20.5703125" style="254" customWidth="1"/>
    <col min="13063" max="13063" width="15.7109375" style="254" bestFit="1" customWidth="1"/>
    <col min="13064" max="13064" width="14.5703125" style="254" bestFit="1" customWidth="1"/>
    <col min="13065" max="13313" width="9.140625" style="254"/>
    <col min="13314" max="13314" width="8.42578125" style="254" customWidth="1"/>
    <col min="13315" max="13315" width="54.7109375" style="254" customWidth="1"/>
    <col min="13316" max="13316" width="7.85546875" style="254" customWidth="1"/>
    <col min="13317" max="13317" width="10" style="254" customWidth="1"/>
    <col min="13318" max="13318" width="20.5703125" style="254" customWidth="1"/>
    <col min="13319" max="13319" width="15.7109375" style="254" bestFit="1" customWidth="1"/>
    <col min="13320" max="13320" width="14.5703125" style="254" bestFit="1" customWidth="1"/>
    <col min="13321" max="13569" width="9.140625" style="254"/>
    <col min="13570" max="13570" width="8.42578125" style="254" customWidth="1"/>
    <col min="13571" max="13571" width="54.7109375" style="254" customWidth="1"/>
    <col min="13572" max="13572" width="7.85546875" style="254" customWidth="1"/>
    <col min="13573" max="13573" width="10" style="254" customWidth="1"/>
    <col min="13574" max="13574" width="20.5703125" style="254" customWidth="1"/>
    <col min="13575" max="13575" width="15.7109375" style="254" bestFit="1" customWidth="1"/>
    <col min="13576" max="13576" width="14.5703125" style="254" bestFit="1" customWidth="1"/>
    <col min="13577" max="13825" width="9.140625" style="254"/>
    <col min="13826" max="13826" width="8.42578125" style="254" customWidth="1"/>
    <col min="13827" max="13827" width="54.7109375" style="254" customWidth="1"/>
    <col min="13828" max="13828" width="7.85546875" style="254" customWidth="1"/>
    <col min="13829" max="13829" width="10" style="254" customWidth="1"/>
    <col min="13830" max="13830" width="20.5703125" style="254" customWidth="1"/>
    <col min="13831" max="13831" width="15.7109375" style="254" bestFit="1" customWidth="1"/>
    <col min="13832" max="13832" width="14.5703125" style="254" bestFit="1" customWidth="1"/>
    <col min="13833" max="14081" width="9.140625" style="254"/>
    <col min="14082" max="14082" width="8.42578125" style="254" customWidth="1"/>
    <col min="14083" max="14083" width="54.7109375" style="254" customWidth="1"/>
    <col min="14084" max="14084" width="7.85546875" style="254" customWidth="1"/>
    <col min="14085" max="14085" width="10" style="254" customWidth="1"/>
    <col min="14086" max="14086" width="20.5703125" style="254" customWidth="1"/>
    <col min="14087" max="14087" width="15.7109375" style="254" bestFit="1" customWidth="1"/>
    <col min="14088" max="14088" width="14.5703125" style="254" bestFit="1" customWidth="1"/>
    <col min="14089" max="14337" width="9.140625" style="254"/>
    <col min="14338" max="14338" width="8.42578125" style="254" customWidth="1"/>
    <col min="14339" max="14339" width="54.7109375" style="254" customWidth="1"/>
    <col min="14340" max="14340" width="7.85546875" style="254" customWidth="1"/>
    <col min="14341" max="14341" width="10" style="254" customWidth="1"/>
    <col min="14342" max="14342" width="20.5703125" style="254" customWidth="1"/>
    <col min="14343" max="14343" width="15.7109375" style="254" bestFit="1" customWidth="1"/>
    <col min="14344" max="14344" width="14.5703125" style="254" bestFit="1" customWidth="1"/>
    <col min="14345" max="14593" width="9.140625" style="254"/>
    <col min="14594" max="14594" width="8.42578125" style="254" customWidth="1"/>
    <col min="14595" max="14595" width="54.7109375" style="254" customWidth="1"/>
    <col min="14596" max="14596" width="7.85546875" style="254" customWidth="1"/>
    <col min="14597" max="14597" width="10" style="254" customWidth="1"/>
    <col min="14598" max="14598" width="20.5703125" style="254" customWidth="1"/>
    <col min="14599" max="14599" width="15.7109375" style="254" bestFit="1" customWidth="1"/>
    <col min="14600" max="14600" width="14.5703125" style="254" bestFit="1" customWidth="1"/>
    <col min="14601" max="14849" width="9.140625" style="254"/>
    <col min="14850" max="14850" width="8.42578125" style="254" customWidth="1"/>
    <col min="14851" max="14851" width="54.7109375" style="254" customWidth="1"/>
    <col min="14852" max="14852" width="7.85546875" style="254" customWidth="1"/>
    <col min="14853" max="14853" width="10" style="254" customWidth="1"/>
    <col min="14854" max="14854" width="20.5703125" style="254" customWidth="1"/>
    <col min="14855" max="14855" width="15.7109375" style="254" bestFit="1" customWidth="1"/>
    <col min="14856" max="14856" width="14.5703125" style="254" bestFit="1" customWidth="1"/>
    <col min="14857" max="15105" width="9.140625" style="254"/>
    <col min="15106" max="15106" width="8.42578125" style="254" customWidth="1"/>
    <col min="15107" max="15107" width="54.7109375" style="254" customWidth="1"/>
    <col min="15108" max="15108" width="7.85546875" style="254" customWidth="1"/>
    <col min="15109" max="15109" width="10" style="254" customWidth="1"/>
    <col min="15110" max="15110" width="20.5703125" style="254" customWidth="1"/>
    <col min="15111" max="15111" width="15.7109375" style="254" bestFit="1" customWidth="1"/>
    <col min="15112" max="15112" width="14.5703125" style="254" bestFit="1" customWidth="1"/>
    <col min="15113" max="15361" width="9.140625" style="254"/>
    <col min="15362" max="15362" width="8.42578125" style="254" customWidth="1"/>
    <col min="15363" max="15363" width="54.7109375" style="254" customWidth="1"/>
    <col min="15364" max="15364" width="7.85546875" style="254" customWidth="1"/>
    <col min="15365" max="15365" width="10" style="254" customWidth="1"/>
    <col min="15366" max="15366" width="20.5703125" style="254" customWidth="1"/>
    <col min="15367" max="15367" width="15.7109375" style="254" bestFit="1" customWidth="1"/>
    <col min="15368" max="15368" width="14.5703125" style="254" bestFit="1" customWidth="1"/>
    <col min="15369" max="15617" width="9.140625" style="254"/>
    <col min="15618" max="15618" width="8.42578125" style="254" customWidth="1"/>
    <col min="15619" max="15619" width="54.7109375" style="254" customWidth="1"/>
    <col min="15620" max="15620" width="7.85546875" style="254" customWidth="1"/>
    <col min="15621" max="15621" width="10" style="254" customWidth="1"/>
    <col min="15622" max="15622" width="20.5703125" style="254" customWidth="1"/>
    <col min="15623" max="15623" width="15.7109375" style="254" bestFit="1" customWidth="1"/>
    <col min="15624" max="15624" width="14.5703125" style="254" bestFit="1" customWidth="1"/>
    <col min="15625" max="15873" width="9.140625" style="254"/>
    <col min="15874" max="15874" width="8.42578125" style="254" customWidth="1"/>
    <col min="15875" max="15875" width="54.7109375" style="254" customWidth="1"/>
    <col min="15876" max="15876" width="7.85546875" style="254" customWidth="1"/>
    <col min="15877" max="15877" width="10" style="254" customWidth="1"/>
    <col min="15878" max="15878" width="20.5703125" style="254" customWidth="1"/>
    <col min="15879" max="15879" width="15.7109375" style="254" bestFit="1" customWidth="1"/>
    <col min="15880" max="15880" width="14.5703125" style="254" bestFit="1" customWidth="1"/>
    <col min="15881" max="16129" width="9.140625" style="254"/>
    <col min="16130" max="16130" width="8.42578125" style="254" customWidth="1"/>
    <col min="16131" max="16131" width="54.7109375" style="254" customWidth="1"/>
    <col min="16132" max="16132" width="7.85546875" style="254" customWidth="1"/>
    <col min="16133" max="16133" width="10" style="254" customWidth="1"/>
    <col min="16134" max="16134" width="20.5703125" style="254" customWidth="1"/>
    <col min="16135" max="16135" width="15.7109375" style="254" bestFit="1" customWidth="1"/>
    <col min="16136" max="16136" width="14.5703125" style="254" bestFit="1" customWidth="1"/>
    <col min="16137" max="16384" width="9.140625" style="254"/>
  </cols>
  <sheetData>
    <row r="1" spans="1:10" ht="20.100000000000001" customHeight="1" x14ac:dyDescent="0.25">
      <c r="A1" s="251"/>
      <c r="B1" s="251"/>
      <c r="C1" s="251"/>
      <c r="D1" s="330"/>
      <c r="E1" s="252"/>
      <c r="F1" s="252"/>
      <c r="G1" s="252"/>
    </row>
    <row r="2" spans="1:10" ht="20.100000000000001" customHeight="1" x14ac:dyDescent="0.25">
      <c r="A2" s="251"/>
      <c r="B2" s="251"/>
      <c r="C2" s="251"/>
      <c r="D2" s="330"/>
      <c r="E2" s="252"/>
      <c r="F2" s="252"/>
      <c r="G2" s="252"/>
    </row>
    <row r="3" spans="1:10" ht="20.100000000000001" customHeight="1" x14ac:dyDescent="0.25">
      <c r="A3" s="251"/>
      <c r="B3" s="251"/>
      <c r="C3" s="251"/>
      <c r="D3" s="330"/>
      <c r="E3" s="252"/>
      <c r="F3" s="252"/>
      <c r="G3" s="252"/>
    </row>
    <row r="4" spans="1:10" ht="20.100000000000001" customHeight="1" x14ac:dyDescent="0.25">
      <c r="A4" s="255"/>
      <c r="B4" s="251"/>
      <c r="C4" s="251"/>
      <c r="D4" s="330"/>
      <c r="E4" s="252"/>
      <c r="F4" s="252"/>
      <c r="G4" s="252"/>
    </row>
    <row r="5" spans="1:10" ht="20.100000000000001" customHeight="1" x14ac:dyDescent="0.25">
      <c r="A5" s="251"/>
      <c r="B5" s="251"/>
      <c r="C5" s="251"/>
      <c r="D5" s="330"/>
      <c r="E5" s="252"/>
      <c r="F5" s="252"/>
      <c r="G5" s="252"/>
    </row>
    <row r="6" spans="1:10" ht="20.100000000000001" customHeight="1" x14ac:dyDescent="0.25">
      <c r="A6" s="255" t="s">
        <v>278</v>
      </c>
      <c r="B6" s="251"/>
      <c r="C6" s="251"/>
      <c r="D6" s="330"/>
      <c r="E6" s="252"/>
      <c r="F6" s="252"/>
      <c r="G6" s="252"/>
    </row>
    <row r="7" spans="1:10" ht="20.100000000000001" customHeight="1" x14ac:dyDescent="0.25">
      <c r="A7" s="255"/>
      <c r="B7" s="251"/>
      <c r="C7" s="251"/>
      <c r="D7" s="330"/>
      <c r="E7" s="252"/>
      <c r="F7" s="252"/>
      <c r="G7" s="252"/>
    </row>
    <row r="8" spans="1:10" s="100" customFormat="1" x14ac:dyDescent="0.25">
      <c r="C8" s="258"/>
      <c r="D8" s="331"/>
      <c r="E8" s="252"/>
      <c r="F8" s="259"/>
      <c r="G8" s="259"/>
      <c r="H8" s="260"/>
    </row>
    <row r="9" spans="1:10" s="100" customFormat="1" x14ac:dyDescent="0.25">
      <c r="C9" s="258"/>
      <c r="D9" s="331"/>
      <c r="E9" s="252"/>
      <c r="F9" s="259"/>
      <c r="G9" s="259"/>
      <c r="H9" s="260"/>
    </row>
    <row r="10" spans="1:10" s="100" customFormat="1" x14ac:dyDescent="0.25">
      <c r="A10" s="261" t="s">
        <v>480</v>
      </c>
      <c r="B10" s="106"/>
      <c r="C10" s="106"/>
      <c r="D10" s="162"/>
      <c r="E10" s="106"/>
      <c r="F10" s="262"/>
      <c r="G10" s="262"/>
      <c r="H10" s="260"/>
    </row>
    <row r="11" spans="1:10" s="100" customFormat="1" x14ac:dyDescent="0.25">
      <c r="A11" s="261" t="s">
        <v>481</v>
      </c>
      <c r="B11" s="98"/>
      <c r="C11" s="98"/>
      <c r="D11" s="170"/>
      <c r="E11" s="263" t="s">
        <v>283</v>
      </c>
      <c r="F11" s="264"/>
      <c r="G11" s="264"/>
      <c r="H11" s="260"/>
    </row>
    <row r="12" spans="1:10" s="100" customFormat="1" x14ac:dyDescent="0.25">
      <c r="A12" s="98"/>
      <c r="B12" s="98"/>
      <c r="C12" s="98"/>
      <c r="D12" s="170"/>
      <c r="E12" s="265"/>
      <c r="F12" s="266"/>
      <c r="G12" s="266"/>
      <c r="H12" s="260"/>
    </row>
    <row r="13" spans="1:10" s="272" customFormat="1" ht="20.100000000000001" customHeight="1" x14ac:dyDescent="0.25">
      <c r="A13" s="332" t="s">
        <v>1</v>
      </c>
      <c r="B13" s="332" t="s">
        <v>284</v>
      </c>
      <c r="C13" s="332" t="s">
        <v>26</v>
      </c>
      <c r="D13" s="333" t="s">
        <v>285</v>
      </c>
      <c r="E13" s="334" t="s">
        <v>286</v>
      </c>
      <c r="F13" s="335" t="s">
        <v>287</v>
      </c>
      <c r="G13" s="355"/>
      <c r="H13" s="271"/>
      <c r="I13" s="125"/>
      <c r="J13" s="125"/>
    </row>
    <row r="14" spans="1:10" s="272" customFormat="1" ht="20.100000000000001" customHeight="1" x14ac:dyDescent="0.25">
      <c r="A14" s="267" t="s">
        <v>288</v>
      </c>
      <c r="B14" s="273" t="s">
        <v>482</v>
      </c>
      <c r="C14" s="267"/>
      <c r="D14" s="336"/>
      <c r="E14" s="269"/>
      <c r="F14" s="270"/>
      <c r="G14" s="356"/>
      <c r="H14" s="274"/>
      <c r="I14" s="261"/>
      <c r="J14" s="261"/>
    </row>
    <row r="15" spans="1:10" ht="20.100000000000001" customHeight="1" x14ac:dyDescent="0.25">
      <c r="A15" s="61" t="s">
        <v>289</v>
      </c>
      <c r="B15" s="275" t="s">
        <v>483</v>
      </c>
      <c r="C15" s="61" t="s">
        <v>205</v>
      </c>
      <c r="D15" s="337">
        <v>2500</v>
      </c>
      <c r="E15" s="59">
        <f>+H15*I15</f>
        <v>8154.9999999999991</v>
      </c>
      <c r="F15" s="276">
        <f>+E15*D15</f>
        <v>20387499.999999996</v>
      </c>
      <c r="G15" s="357"/>
      <c r="H15" s="253">
        <v>5825</v>
      </c>
      <c r="I15" s="277">
        <v>1.4</v>
      </c>
      <c r="J15" s="277"/>
    </row>
    <row r="16" spans="1:10" ht="20.100000000000001" customHeight="1" x14ac:dyDescent="0.25">
      <c r="A16" s="61" t="s">
        <v>291</v>
      </c>
      <c r="B16" s="275" t="s">
        <v>292</v>
      </c>
      <c r="C16" s="61" t="s">
        <v>205</v>
      </c>
      <c r="D16" s="337">
        <v>2500</v>
      </c>
      <c r="E16" s="59">
        <f t="shared" ref="E16:E79" si="0">+H16*I16</f>
        <v>3465</v>
      </c>
      <c r="F16" s="276">
        <f t="shared" ref="F16:F82" si="1">+E16*D16</f>
        <v>8662500</v>
      </c>
      <c r="G16" s="357"/>
      <c r="H16" s="253">
        <v>2475</v>
      </c>
      <c r="I16" s="277">
        <v>1.4</v>
      </c>
      <c r="J16" s="277"/>
    </row>
    <row r="17" spans="1:10" ht="20.100000000000001" customHeight="1" x14ac:dyDescent="0.25">
      <c r="A17" s="61" t="s">
        <v>293</v>
      </c>
      <c r="B17" s="275" t="s">
        <v>294</v>
      </c>
      <c r="C17" s="61" t="s">
        <v>205</v>
      </c>
      <c r="D17" s="337">
        <v>600</v>
      </c>
      <c r="E17" s="59">
        <f t="shared" si="0"/>
        <v>1351</v>
      </c>
      <c r="F17" s="276">
        <f>+E17*D17</f>
        <v>810600</v>
      </c>
      <c r="G17" s="357"/>
      <c r="H17" s="253">
        <v>965</v>
      </c>
      <c r="I17" s="277">
        <v>1.4</v>
      </c>
      <c r="J17" s="277"/>
    </row>
    <row r="18" spans="1:10" ht="20.100000000000001" customHeight="1" x14ac:dyDescent="0.25">
      <c r="A18" s="61" t="s">
        <v>295</v>
      </c>
      <c r="B18" s="275" t="s">
        <v>296</v>
      </c>
      <c r="C18" s="61" t="s">
        <v>203</v>
      </c>
      <c r="D18" s="337">
        <v>350</v>
      </c>
      <c r="E18" s="59">
        <f t="shared" si="0"/>
        <v>3639.9999999999995</v>
      </c>
      <c r="F18" s="276">
        <f t="shared" si="1"/>
        <v>1273999.9999999998</v>
      </c>
      <c r="G18" s="357"/>
      <c r="H18" s="253">
        <v>2600</v>
      </c>
      <c r="I18" s="277">
        <v>1.4</v>
      </c>
      <c r="J18" s="277"/>
    </row>
    <row r="19" spans="1:10" ht="20.100000000000001" customHeight="1" x14ac:dyDescent="0.25">
      <c r="A19" s="61" t="s">
        <v>297</v>
      </c>
      <c r="B19" s="275" t="s">
        <v>298</v>
      </c>
      <c r="C19" s="61" t="s">
        <v>203</v>
      </c>
      <c r="D19" s="337">
        <v>350</v>
      </c>
      <c r="E19" s="59">
        <f t="shared" si="0"/>
        <v>5691</v>
      </c>
      <c r="F19" s="276">
        <f t="shared" si="1"/>
        <v>1991850</v>
      </c>
      <c r="G19" s="357"/>
      <c r="H19" s="253">
        <v>4065</v>
      </c>
      <c r="I19" s="277">
        <v>1.4</v>
      </c>
      <c r="J19" s="277"/>
    </row>
    <row r="20" spans="1:10" ht="20.100000000000001" customHeight="1" x14ac:dyDescent="0.25">
      <c r="A20" s="61" t="s">
        <v>299</v>
      </c>
      <c r="B20" s="275" t="s">
        <v>218</v>
      </c>
      <c r="C20" s="61" t="s">
        <v>205</v>
      </c>
      <c r="D20" s="337">
        <v>5000</v>
      </c>
      <c r="E20" s="59">
        <f t="shared" si="0"/>
        <v>2100</v>
      </c>
      <c r="F20" s="276">
        <f t="shared" si="1"/>
        <v>10500000</v>
      </c>
      <c r="G20" s="357"/>
      <c r="H20" s="253">
        <v>1500</v>
      </c>
      <c r="I20" s="277">
        <v>1.4</v>
      </c>
      <c r="J20" s="277"/>
    </row>
    <row r="21" spans="1:10" ht="20.100000000000001" customHeight="1" x14ac:dyDescent="0.25">
      <c r="A21" s="61" t="s">
        <v>300</v>
      </c>
      <c r="B21" s="275" t="s">
        <v>202</v>
      </c>
      <c r="C21" s="61" t="s">
        <v>205</v>
      </c>
      <c r="D21" s="337">
        <v>2500</v>
      </c>
      <c r="E21" s="59">
        <f t="shared" si="0"/>
        <v>203</v>
      </c>
      <c r="F21" s="276">
        <f t="shared" si="1"/>
        <v>507500</v>
      </c>
      <c r="G21" s="357"/>
      <c r="H21" s="253">
        <v>145</v>
      </c>
      <c r="I21" s="277">
        <v>1.4</v>
      </c>
      <c r="J21" s="277"/>
    </row>
    <row r="22" spans="1:10" ht="20.100000000000001" customHeight="1" x14ac:dyDescent="0.25">
      <c r="A22" s="61" t="s">
        <v>301</v>
      </c>
      <c r="B22" s="275" t="s">
        <v>484</v>
      </c>
      <c r="C22" s="61" t="s">
        <v>203</v>
      </c>
      <c r="D22" s="337">
        <v>50</v>
      </c>
      <c r="E22" s="59">
        <f t="shared" si="0"/>
        <v>11900</v>
      </c>
      <c r="F22" s="276">
        <f t="shared" si="1"/>
        <v>595000</v>
      </c>
      <c r="G22" s="357"/>
      <c r="H22" s="253">
        <v>8500</v>
      </c>
      <c r="I22" s="277">
        <v>1.4</v>
      </c>
      <c r="J22" s="277"/>
    </row>
    <row r="23" spans="1:10" ht="20.100000000000001" customHeight="1" x14ac:dyDescent="0.25">
      <c r="A23" s="61" t="s">
        <v>302</v>
      </c>
      <c r="B23" s="275" t="s">
        <v>485</v>
      </c>
      <c r="C23" s="61" t="s">
        <v>203</v>
      </c>
      <c r="D23" s="337">
        <v>50</v>
      </c>
      <c r="E23" s="59">
        <f t="shared" si="0"/>
        <v>3989.9999999999995</v>
      </c>
      <c r="F23" s="276">
        <f t="shared" si="1"/>
        <v>199499.99999999997</v>
      </c>
      <c r="G23" s="357"/>
      <c r="H23" s="253">
        <v>2850</v>
      </c>
      <c r="I23" s="277">
        <v>1.4</v>
      </c>
      <c r="J23" s="277"/>
    </row>
    <row r="24" spans="1:10" ht="20.100000000000001" customHeight="1" x14ac:dyDescent="0.25">
      <c r="A24" s="61" t="s">
        <v>303</v>
      </c>
      <c r="B24" s="275" t="s">
        <v>486</v>
      </c>
      <c r="C24" s="61" t="s">
        <v>203</v>
      </c>
      <c r="D24" s="337">
        <v>50</v>
      </c>
      <c r="E24" s="59">
        <f t="shared" si="0"/>
        <v>21000</v>
      </c>
      <c r="F24" s="278">
        <f>+D24*E24</f>
        <v>1050000</v>
      </c>
      <c r="G24" s="358"/>
      <c r="H24" s="253">
        <v>15000</v>
      </c>
      <c r="I24" s="277">
        <v>1.4</v>
      </c>
      <c r="J24" s="277"/>
    </row>
    <row r="25" spans="1:10" ht="20.100000000000001" customHeight="1" x14ac:dyDescent="0.25">
      <c r="A25" s="61" t="s">
        <v>305</v>
      </c>
      <c r="B25" s="275" t="s">
        <v>306</v>
      </c>
      <c r="C25" s="61" t="s">
        <v>205</v>
      </c>
      <c r="D25" s="337">
        <v>2500</v>
      </c>
      <c r="E25" s="59">
        <f t="shared" si="0"/>
        <v>17500</v>
      </c>
      <c r="F25" s="278">
        <f t="shared" ref="F25:F28" si="2">+D25*E25</f>
        <v>43750000</v>
      </c>
      <c r="G25" s="358"/>
      <c r="H25" s="253">
        <v>12500</v>
      </c>
      <c r="I25" s="277">
        <v>1.4</v>
      </c>
      <c r="J25" s="277"/>
    </row>
    <row r="26" spans="1:10" ht="20.100000000000001" customHeight="1" x14ac:dyDescent="0.25">
      <c r="A26" s="61" t="s">
        <v>307</v>
      </c>
      <c r="B26" s="275" t="s">
        <v>223</v>
      </c>
      <c r="C26" s="61" t="s">
        <v>205</v>
      </c>
      <c r="D26" s="337">
        <v>350</v>
      </c>
      <c r="E26" s="59">
        <f t="shared" si="0"/>
        <v>2100</v>
      </c>
      <c r="F26" s="278">
        <f t="shared" si="2"/>
        <v>735000</v>
      </c>
      <c r="G26" s="358"/>
      <c r="H26" s="253">
        <v>1500</v>
      </c>
      <c r="I26" s="277">
        <v>1.4</v>
      </c>
      <c r="J26" s="277"/>
    </row>
    <row r="27" spans="1:10" ht="31.5" customHeight="1" x14ac:dyDescent="0.25">
      <c r="A27" s="61" t="s">
        <v>308</v>
      </c>
      <c r="B27" s="310" t="s">
        <v>309</v>
      </c>
      <c r="C27" s="61" t="s">
        <v>203</v>
      </c>
      <c r="D27" s="337">
        <v>10</v>
      </c>
      <c r="E27" s="59">
        <f t="shared" si="0"/>
        <v>35000</v>
      </c>
      <c r="F27" s="278">
        <f t="shared" si="2"/>
        <v>350000</v>
      </c>
      <c r="G27" s="358"/>
      <c r="H27" s="253">
        <v>25000</v>
      </c>
      <c r="I27" s="277">
        <v>1.4</v>
      </c>
      <c r="J27" s="277"/>
    </row>
    <row r="28" spans="1:10" ht="20.100000000000001" customHeight="1" x14ac:dyDescent="0.25">
      <c r="A28" s="61" t="s">
        <v>310</v>
      </c>
      <c r="B28" s="275" t="s">
        <v>311</v>
      </c>
      <c r="C28" s="61" t="s">
        <v>203</v>
      </c>
      <c r="D28" s="337">
        <v>40</v>
      </c>
      <c r="E28" s="59">
        <f t="shared" si="0"/>
        <v>28000</v>
      </c>
      <c r="F28" s="278">
        <f t="shared" si="2"/>
        <v>1120000</v>
      </c>
      <c r="G28" s="358"/>
      <c r="H28" s="253">
        <v>20000</v>
      </c>
      <c r="I28" s="277">
        <v>1.4</v>
      </c>
      <c r="J28" s="277"/>
    </row>
    <row r="29" spans="1:10" ht="15" customHeight="1" x14ac:dyDescent="0.25">
      <c r="A29" s="61"/>
      <c r="B29" s="275"/>
      <c r="C29" s="61"/>
      <c r="D29" s="337"/>
      <c r="E29" s="59">
        <f t="shared" si="0"/>
        <v>0</v>
      </c>
      <c r="F29" s="278"/>
      <c r="G29" s="358"/>
      <c r="I29" s="277"/>
      <c r="J29" s="277"/>
    </row>
    <row r="30" spans="1:10" s="272" customFormat="1" ht="20.100000000000001" customHeight="1" x14ac:dyDescent="0.25">
      <c r="A30" s="267" t="s">
        <v>312</v>
      </c>
      <c r="B30" s="273" t="s">
        <v>487</v>
      </c>
      <c r="C30" s="267"/>
      <c r="D30" s="336"/>
      <c r="E30" s="59">
        <f t="shared" si="0"/>
        <v>0</v>
      </c>
      <c r="F30" s="276"/>
      <c r="G30" s="357"/>
      <c r="H30" s="274"/>
      <c r="I30" s="277">
        <v>1.4</v>
      </c>
      <c r="J30" s="261"/>
    </row>
    <row r="31" spans="1:10" ht="20.100000000000001" customHeight="1" x14ac:dyDescent="0.25">
      <c r="A31" s="61" t="s">
        <v>289</v>
      </c>
      <c r="B31" s="275" t="s">
        <v>483</v>
      </c>
      <c r="C31" s="61" t="s">
        <v>205</v>
      </c>
      <c r="D31" s="337">
        <v>2500</v>
      </c>
      <c r="E31" s="59">
        <f>+H31*I31</f>
        <v>8154.9999999999991</v>
      </c>
      <c r="F31" s="276">
        <f>+E31*D31</f>
        <v>20387499.999999996</v>
      </c>
      <c r="G31" s="357"/>
      <c r="H31" s="253">
        <v>5825</v>
      </c>
      <c r="I31" s="277">
        <v>1.4</v>
      </c>
      <c r="J31" s="277"/>
    </row>
    <row r="32" spans="1:10" ht="20.100000000000001" customHeight="1" x14ac:dyDescent="0.25">
      <c r="A32" s="61" t="s">
        <v>314</v>
      </c>
      <c r="B32" s="275" t="s">
        <v>292</v>
      </c>
      <c r="C32" s="61" t="s">
        <v>205</v>
      </c>
      <c r="D32" s="337">
        <v>2500</v>
      </c>
      <c r="E32" s="59">
        <f t="shared" si="0"/>
        <v>3465</v>
      </c>
      <c r="F32" s="276">
        <f t="shared" si="1"/>
        <v>8662500</v>
      </c>
      <c r="G32" s="357"/>
      <c r="H32" s="253">
        <v>2475</v>
      </c>
      <c r="I32" s="277">
        <v>1.4</v>
      </c>
      <c r="J32" s="277"/>
    </row>
    <row r="33" spans="1:10" ht="20.100000000000001" customHeight="1" x14ac:dyDescent="0.25">
      <c r="A33" s="61" t="s">
        <v>315</v>
      </c>
      <c r="B33" s="275" t="s">
        <v>294</v>
      </c>
      <c r="C33" s="61" t="s">
        <v>205</v>
      </c>
      <c r="D33" s="337">
        <v>600</v>
      </c>
      <c r="E33" s="59">
        <f t="shared" si="0"/>
        <v>1351</v>
      </c>
      <c r="F33" s="276">
        <f t="shared" si="1"/>
        <v>810600</v>
      </c>
      <c r="G33" s="357"/>
      <c r="H33" s="253">
        <v>965</v>
      </c>
      <c r="I33" s="277">
        <v>1.4</v>
      </c>
      <c r="J33" s="277"/>
    </row>
    <row r="34" spans="1:10" ht="20.100000000000001" customHeight="1" x14ac:dyDescent="0.25">
      <c r="A34" s="61" t="s">
        <v>316</v>
      </c>
      <c r="B34" s="275" t="s">
        <v>216</v>
      </c>
      <c r="C34" s="61" t="s">
        <v>203</v>
      </c>
      <c r="D34" s="337">
        <v>350</v>
      </c>
      <c r="E34" s="59">
        <f t="shared" si="0"/>
        <v>3639.9999999999995</v>
      </c>
      <c r="F34" s="276">
        <f t="shared" si="1"/>
        <v>1273999.9999999998</v>
      </c>
      <c r="G34" s="357"/>
      <c r="H34" s="253">
        <v>2600</v>
      </c>
      <c r="I34" s="277">
        <v>1.4</v>
      </c>
      <c r="J34" s="277"/>
    </row>
    <row r="35" spans="1:10" ht="20.100000000000001" customHeight="1" x14ac:dyDescent="0.25">
      <c r="A35" s="61" t="s">
        <v>317</v>
      </c>
      <c r="B35" s="275" t="s">
        <v>318</v>
      </c>
      <c r="C35" s="61" t="s">
        <v>203</v>
      </c>
      <c r="D35" s="337">
        <v>350</v>
      </c>
      <c r="E35" s="59">
        <f t="shared" si="0"/>
        <v>5691</v>
      </c>
      <c r="F35" s="276">
        <f t="shared" si="1"/>
        <v>1991850</v>
      </c>
      <c r="G35" s="357"/>
      <c r="H35" s="253">
        <v>4065</v>
      </c>
      <c r="I35" s="277">
        <v>1.4</v>
      </c>
      <c r="J35" s="277"/>
    </row>
    <row r="36" spans="1:10" ht="20.100000000000001" customHeight="1" x14ac:dyDescent="0.25">
      <c r="A36" s="61" t="s">
        <v>319</v>
      </c>
      <c r="B36" s="275" t="s">
        <v>218</v>
      </c>
      <c r="C36" s="61" t="s">
        <v>205</v>
      </c>
      <c r="D36" s="337">
        <v>5000</v>
      </c>
      <c r="E36" s="59">
        <f t="shared" si="0"/>
        <v>2100</v>
      </c>
      <c r="F36" s="276">
        <f t="shared" si="1"/>
        <v>10500000</v>
      </c>
      <c r="G36" s="357"/>
      <c r="H36" s="253">
        <v>1500</v>
      </c>
      <c r="I36" s="277">
        <v>1.4</v>
      </c>
      <c r="J36" s="277"/>
    </row>
    <row r="37" spans="1:10" ht="20.100000000000001" customHeight="1" x14ac:dyDescent="0.25">
      <c r="A37" s="61" t="s">
        <v>320</v>
      </c>
      <c r="B37" s="275" t="s">
        <v>202</v>
      </c>
      <c r="C37" s="61" t="s">
        <v>205</v>
      </c>
      <c r="D37" s="337">
        <v>350</v>
      </c>
      <c r="E37" s="59">
        <f t="shared" si="0"/>
        <v>203</v>
      </c>
      <c r="F37" s="276">
        <f t="shared" si="1"/>
        <v>71050</v>
      </c>
      <c r="G37" s="357"/>
      <c r="H37" s="253">
        <v>145</v>
      </c>
      <c r="I37" s="277">
        <v>1.4</v>
      </c>
      <c r="J37" s="277"/>
    </row>
    <row r="38" spans="1:10" ht="20.100000000000001" customHeight="1" x14ac:dyDescent="0.25">
      <c r="A38" s="61" t="s">
        <v>321</v>
      </c>
      <c r="B38" s="275" t="s">
        <v>219</v>
      </c>
      <c r="C38" s="61" t="s">
        <v>203</v>
      </c>
      <c r="D38" s="337">
        <v>41</v>
      </c>
      <c r="E38" s="59">
        <f t="shared" si="0"/>
        <v>11900</v>
      </c>
      <c r="F38" s="276">
        <f t="shared" si="1"/>
        <v>487900</v>
      </c>
      <c r="G38" s="357"/>
      <c r="H38" s="253">
        <v>8500</v>
      </c>
      <c r="I38" s="277">
        <v>1.4</v>
      </c>
      <c r="J38" s="277"/>
    </row>
    <row r="39" spans="1:10" ht="20.100000000000001" customHeight="1" x14ac:dyDescent="0.25">
      <c r="A39" s="61" t="s">
        <v>322</v>
      </c>
      <c r="B39" s="275" t="s">
        <v>220</v>
      </c>
      <c r="C39" s="61" t="s">
        <v>203</v>
      </c>
      <c r="D39" s="337">
        <v>41</v>
      </c>
      <c r="E39" s="59">
        <f t="shared" si="0"/>
        <v>3989.9999999999995</v>
      </c>
      <c r="F39" s="276">
        <f t="shared" si="1"/>
        <v>163589.99999999997</v>
      </c>
      <c r="G39" s="357"/>
      <c r="H39" s="253">
        <v>2850</v>
      </c>
      <c r="I39" s="277">
        <v>1.4</v>
      </c>
      <c r="J39" s="277"/>
    </row>
    <row r="40" spans="1:10" ht="20.100000000000001" customHeight="1" x14ac:dyDescent="0.25">
      <c r="A40" s="61" t="s">
        <v>323</v>
      </c>
      <c r="B40" s="275" t="s">
        <v>304</v>
      </c>
      <c r="C40" s="61" t="s">
        <v>203</v>
      </c>
      <c r="D40" s="337">
        <v>41</v>
      </c>
      <c r="E40" s="59">
        <f t="shared" si="0"/>
        <v>21000</v>
      </c>
      <c r="F40" s="278">
        <f t="shared" ref="F40:F44" si="3">+D40*E40</f>
        <v>861000</v>
      </c>
      <c r="G40" s="358"/>
      <c r="H40" s="253">
        <v>15000</v>
      </c>
      <c r="I40" s="277">
        <v>1.4</v>
      </c>
      <c r="J40" s="277"/>
    </row>
    <row r="41" spans="1:10" ht="20.100000000000001" customHeight="1" x14ac:dyDescent="0.25">
      <c r="A41" s="61" t="s">
        <v>324</v>
      </c>
      <c r="B41" s="275" t="s">
        <v>222</v>
      </c>
      <c r="C41" s="61" t="s">
        <v>205</v>
      </c>
      <c r="D41" s="337">
        <v>2500</v>
      </c>
      <c r="E41" s="59">
        <f t="shared" si="0"/>
        <v>17500</v>
      </c>
      <c r="F41" s="278">
        <f t="shared" si="3"/>
        <v>43750000</v>
      </c>
      <c r="G41" s="358"/>
      <c r="H41" s="253">
        <v>12500</v>
      </c>
      <c r="I41" s="277">
        <v>1.4</v>
      </c>
      <c r="J41" s="277"/>
    </row>
    <row r="42" spans="1:10" ht="20.100000000000001" customHeight="1" x14ac:dyDescent="0.25">
      <c r="A42" s="61" t="s">
        <v>325</v>
      </c>
      <c r="B42" s="275" t="s">
        <v>311</v>
      </c>
      <c r="C42" s="61" t="s">
        <v>203</v>
      </c>
      <c r="D42" s="337">
        <v>41</v>
      </c>
      <c r="E42" s="59">
        <f t="shared" si="0"/>
        <v>35000</v>
      </c>
      <c r="F42" s="278">
        <f t="shared" si="3"/>
        <v>1435000</v>
      </c>
      <c r="G42" s="358"/>
      <c r="H42" s="253">
        <v>25000</v>
      </c>
      <c r="I42" s="277">
        <v>1.4</v>
      </c>
      <c r="J42" s="277"/>
    </row>
    <row r="43" spans="1:10" ht="20.100000000000001" customHeight="1" x14ac:dyDescent="0.25">
      <c r="A43" s="61" t="s">
        <v>326</v>
      </c>
      <c r="B43" s="275" t="s">
        <v>223</v>
      </c>
      <c r="C43" s="61" t="s">
        <v>205</v>
      </c>
      <c r="D43" s="337">
        <v>350</v>
      </c>
      <c r="E43" s="59">
        <f t="shared" si="0"/>
        <v>2100</v>
      </c>
      <c r="F43" s="278">
        <f t="shared" si="3"/>
        <v>735000</v>
      </c>
      <c r="G43" s="358"/>
      <c r="H43" s="253">
        <v>1500</v>
      </c>
      <c r="I43" s="277">
        <v>1.4</v>
      </c>
      <c r="J43" s="277"/>
    </row>
    <row r="44" spans="1:10" ht="20.100000000000001" customHeight="1" x14ac:dyDescent="0.25">
      <c r="A44" s="61" t="s">
        <v>327</v>
      </c>
      <c r="B44" s="275" t="s">
        <v>488</v>
      </c>
      <c r="C44" s="61" t="s">
        <v>329</v>
      </c>
      <c r="D44" s="337">
        <v>20</v>
      </c>
      <c r="E44" s="59">
        <f t="shared" si="0"/>
        <v>133000</v>
      </c>
      <c r="F44" s="278">
        <f t="shared" si="3"/>
        <v>2660000</v>
      </c>
      <c r="G44" s="358"/>
      <c r="H44" s="253">
        <v>95000</v>
      </c>
      <c r="I44" s="277">
        <v>1.4</v>
      </c>
      <c r="J44" s="277"/>
    </row>
    <row r="45" spans="1:10" ht="15" customHeight="1" x14ac:dyDescent="0.25">
      <c r="A45" s="61"/>
      <c r="B45" s="275"/>
      <c r="C45" s="61"/>
      <c r="D45" s="337"/>
      <c r="E45" s="59">
        <f t="shared" si="0"/>
        <v>0</v>
      </c>
      <c r="F45" s="278"/>
      <c r="G45" s="358"/>
      <c r="I45" s="277"/>
      <c r="J45" s="277"/>
    </row>
    <row r="46" spans="1:10" s="272" customFormat="1" ht="20.100000000000001" customHeight="1" x14ac:dyDescent="0.25">
      <c r="A46" s="267" t="s">
        <v>330</v>
      </c>
      <c r="B46" s="273" t="s">
        <v>489</v>
      </c>
      <c r="C46" s="267"/>
      <c r="D46" s="337"/>
      <c r="E46" s="59">
        <f t="shared" si="0"/>
        <v>0</v>
      </c>
      <c r="F46" s="276"/>
      <c r="G46" s="357"/>
      <c r="H46" s="274"/>
      <c r="I46" s="277">
        <v>1.4</v>
      </c>
      <c r="J46" s="261"/>
    </row>
    <row r="47" spans="1:10" ht="20.100000000000001" customHeight="1" x14ac:dyDescent="0.25">
      <c r="A47" s="61" t="s">
        <v>289</v>
      </c>
      <c r="B47" s="275" t="s">
        <v>483</v>
      </c>
      <c r="C47" s="61" t="s">
        <v>205</v>
      </c>
      <c r="D47" s="337">
        <v>2200</v>
      </c>
      <c r="E47" s="59">
        <f>+H47*I47</f>
        <v>8154.9999999999991</v>
      </c>
      <c r="F47" s="276">
        <f>+E47*D47</f>
        <v>17940999.999999996</v>
      </c>
      <c r="G47" s="357"/>
      <c r="H47" s="253">
        <v>5825</v>
      </c>
      <c r="I47" s="277">
        <v>1.4</v>
      </c>
      <c r="J47" s="277"/>
    </row>
    <row r="48" spans="1:10" ht="20.100000000000001" customHeight="1" x14ac:dyDescent="0.25">
      <c r="A48" s="61" t="s">
        <v>332</v>
      </c>
      <c r="B48" s="275" t="s">
        <v>292</v>
      </c>
      <c r="C48" s="61" t="s">
        <v>205</v>
      </c>
      <c r="D48" s="337">
        <v>2200</v>
      </c>
      <c r="E48" s="59">
        <f t="shared" si="0"/>
        <v>3465</v>
      </c>
      <c r="F48" s="276">
        <f t="shared" si="1"/>
        <v>7623000</v>
      </c>
      <c r="G48" s="357"/>
      <c r="H48" s="253">
        <v>2475</v>
      </c>
      <c r="I48" s="277">
        <v>1.4</v>
      </c>
      <c r="J48" s="277"/>
    </row>
    <row r="49" spans="1:10" ht="20.100000000000001" customHeight="1" x14ac:dyDescent="0.25">
      <c r="A49" s="61" t="s">
        <v>333</v>
      </c>
      <c r="B49" s="275" t="s">
        <v>334</v>
      </c>
      <c r="C49" s="61" t="s">
        <v>205</v>
      </c>
      <c r="D49" s="337">
        <v>400</v>
      </c>
      <c r="E49" s="59">
        <f t="shared" si="0"/>
        <v>1351</v>
      </c>
      <c r="F49" s="276">
        <f t="shared" si="1"/>
        <v>540400</v>
      </c>
      <c r="G49" s="357"/>
      <c r="H49" s="253">
        <v>965</v>
      </c>
      <c r="I49" s="277">
        <v>1.4</v>
      </c>
      <c r="J49" s="277"/>
    </row>
    <row r="50" spans="1:10" ht="20.100000000000001" customHeight="1" x14ac:dyDescent="0.25">
      <c r="A50" s="61" t="s">
        <v>335</v>
      </c>
      <c r="B50" s="275" t="s">
        <v>216</v>
      </c>
      <c r="C50" s="61" t="s">
        <v>203</v>
      </c>
      <c r="D50" s="337">
        <v>230</v>
      </c>
      <c r="E50" s="59">
        <f t="shared" si="0"/>
        <v>3639.9999999999995</v>
      </c>
      <c r="F50" s="276">
        <f t="shared" si="1"/>
        <v>837199.99999999988</v>
      </c>
      <c r="G50" s="357"/>
      <c r="H50" s="253">
        <v>2600</v>
      </c>
      <c r="I50" s="277">
        <v>1.4</v>
      </c>
      <c r="J50" s="277"/>
    </row>
    <row r="51" spans="1:10" ht="20.100000000000001" customHeight="1" x14ac:dyDescent="0.25">
      <c r="A51" s="61" t="s">
        <v>336</v>
      </c>
      <c r="B51" s="275" t="s">
        <v>298</v>
      </c>
      <c r="C51" s="61" t="s">
        <v>203</v>
      </c>
      <c r="D51" s="337">
        <v>230</v>
      </c>
      <c r="E51" s="59">
        <f t="shared" si="0"/>
        <v>5691</v>
      </c>
      <c r="F51" s="276">
        <f t="shared" si="1"/>
        <v>1308930</v>
      </c>
      <c r="G51" s="357"/>
      <c r="H51" s="253">
        <v>4065</v>
      </c>
      <c r="I51" s="277">
        <v>1.4</v>
      </c>
      <c r="J51" s="277"/>
    </row>
    <row r="52" spans="1:10" ht="20.100000000000001" customHeight="1" x14ac:dyDescent="0.25">
      <c r="A52" s="61" t="s">
        <v>337</v>
      </c>
      <c r="B52" s="275" t="s">
        <v>218</v>
      </c>
      <c r="C52" s="61" t="s">
        <v>205</v>
      </c>
      <c r="D52" s="337">
        <v>4000</v>
      </c>
      <c r="E52" s="59">
        <f t="shared" si="0"/>
        <v>2100</v>
      </c>
      <c r="F52" s="276">
        <f t="shared" si="1"/>
        <v>8400000</v>
      </c>
      <c r="G52" s="357"/>
      <c r="H52" s="253">
        <v>1500</v>
      </c>
      <c r="I52" s="277">
        <v>1.4</v>
      </c>
      <c r="J52" s="277"/>
    </row>
    <row r="53" spans="1:10" ht="20.100000000000001" customHeight="1" x14ac:dyDescent="0.25">
      <c r="A53" s="61" t="s">
        <v>338</v>
      </c>
      <c r="B53" s="275" t="s">
        <v>202</v>
      </c>
      <c r="C53" s="61" t="s">
        <v>205</v>
      </c>
      <c r="D53" s="337">
        <v>800</v>
      </c>
      <c r="E53" s="59">
        <f t="shared" si="0"/>
        <v>203</v>
      </c>
      <c r="F53" s="276">
        <f t="shared" si="1"/>
        <v>162400</v>
      </c>
      <c r="G53" s="357"/>
      <c r="H53" s="253">
        <v>145</v>
      </c>
      <c r="I53" s="277">
        <v>1.4</v>
      </c>
      <c r="J53" s="277"/>
    </row>
    <row r="54" spans="1:10" ht="20.100000000000001" customHeight="1" x14ac:dyDescent="0.25">
      <c r="A54" s="61" t="s">
        <v>339</v>
      </c>
      <c r="B54" s="275" t="s">
        <v>490</v>
      </c>
      <c r="C54" s="61" t="s">
        <v>203</v>
      </c>
      <c r="D54" s="337">
        <v>16</v>
      </c>
      <c r="E54" s="59">
        <f t="shared" si="0"/>
        <v>11900</v>
      </c>
      <c r="F54" s="276">
        <f t="shared" si="1"/>
        <v>190400</v>
      </c>
      <c r="G54" s="357"/>
      <c r="H54" s="253">
        <v>8500</v>
      </c>
      <c r="I54" s="277">
        <v>1.4</v>
      </c>
      <c r="J54" s="277"/>
    </row>
    <row r="55" spans="1:10" ht="20.100000000000001" customHeight="1" x14ac:dyDescent="0.25">
      <c r="A55" s="61" t="s">
        <v>340</v>
      </c>
      <c r="B55" s="275" t="s">
        <v>485</v>
      </c>
      <c r="C55" s="61" t="s">
        <v>203</v>
      </c>
      <c r="D55" s="337">
        <v>16</v>
      </c>
      <c r="E55" s="59">
        <f t="shared" si="0"/>
        <v>3989.9999999999995</v>
      </c>
      <c r="F55" s="276">
        <f t="shared" si="1"/>
        <v>63839.999999999993</v>
      </c>
      <c r="G55" s="357"/>
      <c r="H55" s="253">
        <v>2850</v>
      </c>
      <c r="I55" s="277">
        <v>1.4</v>
      </c>
      <c r="J55" s="277"/>
    </row>
    <row r="56" spans="1:10" ht="20.100000000000001" customHeight="1" x14ac:dyDescent="0.25">
      <c r="A56" s="61" t="s">
        <v>341</v>
      </c>
      <c r="B56" s="275" t="s">
        <v>304</v>
      </c>
      <c r="C56" s="61" t="s">
        <v>203</v>
      </c>
      <c r="D56" s="337">
        <v>16</v>
      </c>
      <c r="E56" s="59">
        <f t="shared" si="0"/>
        <v>17500</v>
      </c>
      <c r="F56" s="278">
        <f t="shared" ref="F56:F60" si="4">+D56*E56</f>
        <v>280000</v>
      </c>
      <c r="G56" s="358"/>
      <c r="H56" s="253">
        <v>12500</v>
      </c>
      <c r="I56" s="277">
        <v>1.4</v>
      </c>
      <c r="J56" s="277"/>
    </row>
    <row r="57" spans="1:10" ht="20.100000000000001" customHeight="1" x14ac:dyDescent="0.25">
      <c r="A57" s="61" t="s">
        <v>342</v>
      </c>
      <c r="B57" s="275" t="s">
        <v>222</v>
      </c>
      <c r="C57" s="61" t="s">
        <v>205</v>
      </c>
      <c r="D57" s="337">
        <v>700</v>
      </c>
      <c r="E57" s="59">
        <f t="shared" si="0"/>
        <v>17500</v>
      </c>
      <c r="F57" s="278">
        <f t="shared" si="4"/>
        <v>12250000</v>
      </c>
      <c r="G57" s="358"/>
      <c r="H57" s="253">
        <v>12500</v>
      </c>
      <c r="I57" s="277">
        <v>1.4</v>
      </c>
      <c r="J57" s="277"/>
    </row>
    <row r="58" spans="1:10" ht="20.100000000000001" customHeight="1" x14ac:dyDescent="0.25">
      <c r="A58" s="61" t="s">
        <v>343</v>
      </c>
      <c r="B58" s="275" t="s">
        <v>223</v>
      </c>
      <c r="C58" s="61" t="s">
        <v>205</v>
      </c>
      <c r="D58" s="337">
        <v>800</v>
      </c>
      <c r="E58" s="59">
        <f t="shared" si="0"/>
        <v>2100</v>
      </c>
      <c r="F58" s="278">
        <f t="shared" si="4"/>
        <v>1680000</v>
      </c>
      <c r="G58" s="358"/>
      <c r="H58" s="253">
        <v>1500</v>
      </c>
      <c r="I58" s="277">
        <v>1.4</v>
      </c>
      <c r="J58" s="277"/>
    </row>
    <row r="59" spans="1:10" ht="20.100000000000001" customHeight="1" x14ac:dyDescent="0.25">
      <c r="A59" s="61" t="s">
        <v>344</v>
      </c>
      <c r="B59" s="275" t="s">
        <v>311</v>
      </c>
      <c r="C59" s="61" t="s">
        <v>203</v>
      </c>
      <c r="D59" s="337">
        <v>16</v>
      </c>
      <c r="E59" s="59">
        <f t="shared" si="0"/>
        <v>35000</v>
      </c>
      <c r="F59" s="278">
        <f t="shared" si="4"/>
        <v>560000</v>
      </c>
      <c r="G59" s="358"/>
      <c r="H59" s="253">
        <v>25000</v>
      </c>
      <c r="I59" s="277">
        <v>1.4</v>
      </c>
      <c r="J59" s="277"/>
    </row>
    <row r="60" spans="1:10" ht="20.100000000000001" customHeight="1" x14ac:dyDescent="0.25">
      <c r="A60" s="61" t="s">
        <v>345</v>
      </c>
      <c r="B60" s="275" t="s">
        <v>488</v>
      </c>
      <c r="C60" s="61" t="s">
        <v>329</v>
      </c>
      <c r="D60" s="337">
        <v>20</v>
      </c>
      <c r="E60" s="59">
        <f t="shared" si="0"/>
        <v>133000</v>
      </c>
      <c r="F60" s="278">
        <f t="shared" si="4"/>
        <v>2660000</v>
      </c>
      <c r="G60" s="358"/>
      <c r="H60" s="253">
        <v>95000</v>
      </c>
      <c r="I60" s="277">
        <v>1.4</v>
      </c>
      <c r="J60" s="277"/>
    </row>
    <row r="61" spans="1:10" ht="15" customHeight="1" x14ac:dyDescent="0.25">
      <c r="A61" s="61"/>
      <c r="B61" s="275"/>
      <c r="C61" s="61"/>
      <c r="D61" s="337"/>
      <c r="E61" s="59">
        <f t="shared" si="0"/>
        <v>0</v>
      </c>
      <c r="F61" s="278"/>
      <c r="G61" s="358"/>
      <c r="I61" s="277"/>
      <c r="J61" s="277"/>
    </row>
    <row r="62" spans="1:10" s="272" customFormat="1" ht="26.25" customHeight="1" x14ac:dyDescent="0.25">
      <c r="A62" s="267" t="s">
        <v>346</v>
      </c>
      <c r="B62" s="281" t="s">
        <v>491</v>
      </c>
      <c r="C62" s="267"/>
      <c r="D62" s="336"/>
      <c r="E62" s="59">
        <f t="shared" si="0"/>
        <v>0</v>
      </c>
      <c r="F62" s="276"/>
      <c r="G62" s="357"/>
      <c r="H62" s="274"/>
      <c r="I62" s="277"/>
      <c r="J62" s="261"/>
    </row>
    <row r="63" spans="1:10" ht="20.100000000000001" customHeight="1" x14ac:dyDescent="0.25">
      <c r="A63" s="61" t="s">
        <v>347</v>
      </c>
      <c r="B63" s="275" t="s">
        <v>292</v>
      </c>
      <c r="C63" s="61" t="s">
        <v>205</v>
      </c>
      <c r="D63" s="337">
        <v>500</v>
      </c>
      <c r="E63" s="59">
        <f t="shared" si="0"/>
        <v>3465</v>
      </c>
      <c r="F63" s="276">
        <f t="shared" si="1"/>
        <v>1732500</v>
      </c>
      <c r="G63" s="357"/>
      <c r="H63" s="253">
        <v>2475</v>
      </c>
      <c r="I63" s="277">
        <v>1.4</v>
      </c>
      <c r="J63" s="277"/>
    </row>
    <row r="64" spans="1:10" ht="20.100000000000001" customHeight="1" x14ac:dyDescent="0.25">
      <c r="A64" s="61" t="s">
        <v>348</v>
      </c>
      <c r="B64" s="275" t="s">
        <v>492</v>
      </c>
      <c r="C64" s="61" t="s">
        <v>203</v>
      </c>
      <c r="D64" s="337">
        <v>9</v>
      </c>
      <c r="E64" s="59">
        <f t="shared" si="0"/>
        <v>29283.8</v>
      </c>
      <c r="F64" s="276">
        <f t="shared" si="1"/>
        <v>263554.2</v>
      </c>
      <c r="G64" s="357"/>
      <c r="H64" s="253">
        <v>20917</v>
      </c>
      <c r="I64" s="277">
        <v>1.4</v>
      </c>
      <c r="J64" s="277"/>
    </row>
    <row r="65" spans="1:10" ht="20.100000000000001" customHeight="1" x14ac:dyDescent="0.25">
      <c r="A65" s="61" t="s">
        <v>349</v>
      </c>
      <c r="B65" s="275" t="s">
        <v>493</v>
      </c>
      <c r="C65" s="61" t="s">
        <v>205</v>
      </c>
      <c r="D65" s="337">
        <v>9</v>
      </c>
      <c r="E65" s="59">
        <f t="shared" si="0"/>
        <v>6888</v>
      </c>
      <c r="F65" s="276">
        <f t="shared" si="1"/>
        <v>61992</v>
      </c>
      <c r="G65" s="357"/>
      <c r="H65" s="253">
        <v>4920</v>
      </c>
      <c r="I65" s="277">
        <v>1.4</v>
      </c>
      <c r="J65" s="277"/>
    </row>
    <row r="66" spans="1:10" ht="20.100000000000001" customHeight="1" x14ac:dyDescent="0.25">
      <c r="A66" s="61" t="s">
        <v>351</v>
      </c>
      <c r="B66" s="275" t="s">
        <v>231</v>
      </c>
      <c r="C66" s="61" t="s">
        <v>203</v>
      </c>
      <c r="D66" s="337">
        <v>1</v>
      </c>
      <c r="E66" s="59">
        <f t="shared" si="0"/>
        <v>4900</v>
      </c>
      <c r="F66" s="276">
        <f t="shared" si="1"/>
        <v>4900</v>
      </c>
      <c r="G66" s="357"/>
      <c r="H66" s="253">
        <v>3500</v>
      </c>
      <c r="I66" s="277">
        <v>1.4</v>
      </c>
      <c r="J66" s="277"/>
    </row>
    <row r="67" spans="1:10" ht="20.100000000000001" customHeight="1" x14ac:dyDescent="0.25">
      <c r="A67" s="61" t="s">
        <v>352</v>
      </c>
      <c r="B67" s="275" t="s">
        <v>232</v>
      </c>
      <c r="C67" s="61" t="s">
        <v>203</v>
      </c>
      <c r="D67" s="337">
        <v>1</v>
      </c>
      <c r="E67" s="59">
        <f t="shared" si="0"/>
        <v>9734.1999999999989</v>
      </c>
      <c r="F67" s="276">
        <f t="shared" si="1"/>
        <v>9734.1999999999989</v>
      </c>
      <c r="G67" s="357"/>
      <c r="H67" s="253">
        <v>6953</v>
      </c>
      <c r="I67" s="277">
        <v>1.4</v>
      </c>
      <c r="J67" s="277"/>
    </row>
    <row r="68" spans="1:10" ht="20.100000000000001" customHeight="1" x14ac:dyDescent="0.25">
      <c r="A68" s="61" t="s">
        <v>353</v>
      </c>
      <c r="B68" s="275" t="s">
        <v>233</v>
      </c>
      <c r="C68" s="61" t="s">
        <v>203</v>
      </c>
      <c r="D68" s="337">
        <v>1</v>
      </c>
      <c r="E68" s="59">
        <f t="shared" si="0"/>
        <v>9734.1999999999989</v>
      </c>
      <c r="F68" s="276">
        <f t="shared" si="1"/>
        <v>9734.1999999999989</v>
      </c>
      <c r="G68" s="357"/>
      <c r="H68" s="253">
        <v>6953</v>
      </c>
      <c r="I68" s="277">
        <v>1.4</v>
      </c>
      <c r="J68" s="277"/>
    </row>
    <row r="69" spans="1:10" ht="20.100000000000001" customHeight="1" x14ac:dyDescent="0.25">
      <c r="A69" s="61" t="s">
        <v>354</v>
      </c>
      <c r="B69" s="275" t="s">
        <v>234</v>
      </c>
      <c r="C69" s="61" t="s">
        <v>203</v>
      </c>
      <c r="D69" s="337">
        <v>4</v>
      </c>
      <c r="E69" s="59">
        <f t="shared" si="0"/>
        <v>3500</v>
      </c>
      <c r="F69" s="276">
        <f t="shared" si="1"/>
        <v>14000</v>
      </c>
      <c r="G69" s="357"/>
      <c r="H69" s="253">
        <v>2500</v>
      </c>
      <c r="I69" s="277">
        <v>1.4</v>
      </c>
      <c r="J69" s="277"/>
    </row>
    <row r="70" spans="1:10" ht="20.100000000000001" customHeight="1" x14ac:dyDescent="0.25">
      <c r="A70" s="61" t="s">
        <v>355</v>
      </c>
      <c r="B70" s="275" t="s">
        <v>235</v>
      </c>
      <c r="C70" s="61" t="s">
        <v>203</v>
      </c>
      <c r="D70" s="337">
        <v>1</v>
      </c>
      <c r="E70" s="59">
        <f t="shared" si="0"/>
        <v>173250</v>
      </c>
      <c r="F70" s="276">
        <f t="shared" si="1"/>
        <v>173250</v>
      </c>
      <c r="G70" s="357"/>
      <c r="H70" s="253">
        <v>123750</v>
      </c>
      <c r="I70" s="277">
        <v>1.4</v>
      </c>
      <c r="J70" s="277"/>
    </row>
    <row r="71" spans="1:10" ht="20.100000000000001" customHeight="1" x14ac:dyDescent="0.25">
      <c r="A71" s="61" t="s">
        <v>356</v>
      </c>
      <c r="B71" s="275" t="s">
        <v>357</v>
      </c>
      <c r="C71" s="61" t="s">
        <v>203</v>
      </c>
      <c r="D71" s="337">
        <v>2</v>
      </c>
      <c r="E71" s="59">
        <f t="shared" si="0"/>
        <v>130429.59999999999</v>
      </c>
      <c r="F71" s="276">
        <f t="shared" si="1"/>
        <v>260859.19999999998</v>
      </c>
      <c r="G71" s="357"/>
      <c r="H71" s="253">
        <v>93164</v>
      </c>
      <c r="I71" s="277">
        <v>1.4</v>
      </c>
      <c r="J71" s="277"/>
    </row>
    <row r="72" spans="1:10" ht="20.100000000000001" customHeight="1" x14ac:dyDescent="0.25">
      <c r="A72" s="61" t="s">
        <v>358</v>
      </c>
      <c r="B72" s="275" t="s">
        <v>237</v>
      </c>
      <c r="C72" s="61" t="s">
        <v>203</v>
      </c>
      <c r="D72" s="337">
        <v>6</v>
      </c>
      <c r="E72" s="59">
        <f t="shared" si="0"/>
        <v>29598.799999999999</v>
      </c>
      <c r="F72" s="276">
        <f t="shared" si="1"/>
        <v>177592.8</v>
      </c>
      <c r="G72" s="357"/>
      <c r="H72" s="253">
        <v>21142</v>
      </c>
      <c r="I72" s="277">
        <v>1.4</v>
      </c>
      <c r="J72" s="277"/>
    </row>
    <row r="73" spans="1:10" ht="20.100000000000001" customHeight="1" x14ac:dyDescent="0.25">
      <c r="A73" s="61" t="s">
        <v>359</v>
      </c>
      <c r="B73" s="275" t="s">
        <v>238</v>
      </c>
      <c r="C73" s="61" t="s">
        <v>203</v>
      </c>
      <c r="D73" s="337">
        <v>2</v>
      </c>
      <c r="E73" s="59">
        <f t="shared" si="0"/>
        <v>53579.399999999994</v>
      </c>
      <c r="F73" s="276">
        <f t="shared" si="1"/>
        <v>107158.79999999999</v>
      </c>
      <c r="G73" s="357"/>
      <c r="H73" s="253">
        <v>38271</v>
      </c>
      <c r="I73" s="277">
        <v>1.4</v>
      </c>
      <c r="J73" s="277"/>
    </row>
    <row r="74" spans="1:10" ht="20.100000000000001" customHeight="1" x14ac:dyDescent="0.25">
      <c r="A74" s="61" t="s">
        <v>360</v>
      </c>
      <c r="B74" s="275" t="s">
        <v>239</v>
      </c>
      <c r="C74" s="61" t="s">
        <v>203</v>
      </c>
      <c r="D74" s="337">
        <v>2</v>
      </c>
      <c r="E74" s="59">
        <f t="shared" si="0"/>
        <v>43926.399999999994</v>
      </c>
      <c r="F74" s="276">
        <f t="shared" si="1"/>
        <v>87852.799999999988</v>
      </c>
      <c r="G74" s="357"/>
      <c r="H74" s="253">
        <v>31376</v>
      </c>
      <c r="I74" s="277">
        <v>1.4</v>
      </c>
      <c r="J74" s="277"/>
    </row>
    <row r="75" spans="1:10" ht="20.100000000000001" customHeight="1" x14ac:dyDescent="0.25">
      <c r="A75" s="61" t="s">
        <v>361</v>
      </c>
      <c r="B75" s="275" t="s">
        <v>240</v>
      </c>
      <c r="C75" s="61" t="s">
        <v>203</v>
      </c>
      <c r="D75" s="337">
        <v>2</v>
      </c>
      <c r="E75" s="59">
        <f t="shared" si="0"/>
        <v>24570</v>
      </c>
      <c r="F75" s="276">
        <f t="shared" si="1"/>
        <v>49140</v>
      </c>
      <c r="G75" s="357"/>
      <c r="H75" s="253">
        <v>17550</v>
      </c>
      <c r="I75" s="277">
        <v>1.4</v>
      </c>
      <c r="J75" s="277"/>
    </row>
    <row r="76" spans="1:10" ht="20.100000000000001" customHeight="1" x14ac:dyDescent="0.25">
      <c r="A76" s="61" t="s">
        <v>362</v>
      </c>
      <c r="B76" s="275" t="s">
        <v>363</v>
      </c>
      <c r="C76" s="61" t="s">
        <v>203</v>
      </c>
      <c r="D76" s="337">
        <v>2</v>
      </c>
      <c r="E76" s="59">
        <f t="shared" si="0"/>
        <v>160616.4</v>
      </c>
      <c r="F76" s="276">
        <f t="shared" si="1"/>
        <v>321232.8</v>
      </c>
      <c r="G76" s="357"/>
      <c r="H76" s="253">
        <v>114726</v>
      </c>
      <c r="I76" s="277">
        <v>1.4</v>
      </c>
      <c r="J76" s="277"/>
    </row>
    <row r="77" spans="1:10" ht="20.100000000000001" customHeight="1" x14ac:dyDescent="0.25">
      <c r="A77" s="61" t="s">
        <v>364</v>
      </c>
      <c r="B77" s="275" t="s">
        <v>242</v>
      </c>
      <c r="C77" s="61" t="s">
        <v>205</v>
      </c>
      <c r="D77" s="337">
        <v>50</v>
      </c>
      <c r="E77" s="59">
        <f t="shared" si="0"/>
        <v>5833.7999999999993</v>
      </c>
      <c r="F77" s="276">
        <f t="shared" si="1"/>
        <v>291689.99999999994</v>
      </c>
      <c r="G77" s="357"/>
      <c r="H77" s="253">
        <v>4167</v>
      </c>
      <c r="I77" s="277">
        <v>1.4</v>
      </c>
      <c r="J77" s="277"/>
    </row>
    <row r="78" spans="1:10" ht="20.100000000000001" customHeight="1" x14ac:dyDescent="0.25">
      <c r="A78" s="61" t="s">
        <v>365</v>
      </c>
      <c r="B78" s="275" t="s">
        <v>243</v>
      </c>
      <c r="C78" s="61" t="s">
        <v>205</v>
      </c>
      <c r="D78" s="337">
        <v>20</v>
      </c>
      <c r="E78" s="59">
        <f t="shared" si="0"/>
        <v>5833.7999999999993</v>
      </c>
      <c r="F78" s="276">
        <f t="shared" si="1"/>
        <v>116675.99999999999</v>
      </c>
      <c r="G78" s="357"/>
      <c r="H78" s="253">
        <v>4167</v>
      </c>
      <c r="I78" s="277">
        <v>1.4</v>
      </c>
      <c r="J78" s="277"/>
    </row>
    <row r="79" spans="1:10" ht="20.100000000000001" customHeight="1" x14ac:dyDescent="0.25">
      <c r="A79" s="61" t="s">
        <v>366</v>
      </c>
      <c r="B79" s="275" t="s">
        <v>244</v>
      </c>
      <c r="C79" s="61" t="s">
        <v>205</v>
      </c>
      <c r="D79" s="337">
        <v>50</v>
      </c>
      <c r="E79" s="59">
        <f t="shared" si="0"/>
        <v>4963</v>
      </c>
      <c r="F79" s="276">
        <f t="shared" si="1"/>
        <v>248150</v>
      </c>
      <c r="G79" s="357"/>
      <c r="H79" s="253">
        <v>3545</v>
      </c>
      <c r="I79" s="277">
        <v>1.4</v>
      </c>
      <c r="J79" s="277"/>
    </row>
    <row r="80" spans="1:10" ht="20.100000000000001" customHeight="1" x14ac:dyDescent="0.25">
      <c r="A80" s="61" t="s">
        <v>367</v>
      </c>
      <c r="B80" s="275" t="s">
        <v>494</v>
      </c>
      <c r="C80" s="61" t="s">
        <v>205</v>
      </c>
      <c r="D80" s="337">
        <v>15</v>
      </c>
      <c r="E80" s="59">
        <f t="shared" ref="E80:E107" si="5">+H80*I80</f>
        <v>4725</v>
      </c>
      <c r="F80" s="276">
        <f t="shared" si="1"/>
        <v>70875</v>
      </c>
      <c r="G80" s="357"/>
      <c r="H80" s="253">
        <v>3375</v>
      </c>
      <c r="I80" s="277">
        <v>1.4</v>
      </c>
      <c r="J80" s="277"/>
    </row>
    <row r="81" spans="1:10" ht="20.100000000000001" customHeight="1" x14ac:dyDescent="0.25">
      <c r="A81" s="61" t="s">
        <v>368</v>
      </c>
      <c r="B81" s="275" t="s">
        <v>495</v>
      </c>
      <c r="C81" s="61" t="s">
        <v>205</v>
      </c>
      <c r="D81" s="337">
        <v>15</v>
      </c>
      <c r="E81" s="59">
        <f t="shared" si="5"/>
        <v>743.4</v>
      </c>
      <c r="F81" s="276">
        <f t="shared" si="1"/>
        <v>11151</v>
      </c>
      <c r="G81" s="357"/>
      <c r="H81" s="253">
        <v>531</v>
      </c>
      <c r="I81" s="277">
        <v>1.4</v>
      </c>
      <c r="J81" s="277"/>
    </row>
    <row r="82" spans="1:10" ht="20.100000000000001" customHeight="1" x14ac:dyDescent="0.25">
      <c r="A82" s="61" t="s">
        <v>369</v>
      </c>
      <c r="B82" s="275" t="s">
        <v>496</v>
      </c>
      <c r="C82" s="61" t="s">
        <v>205</v>
      </c>
      <c r="D82" s="337">
        <v>10</v>
      </c>
      <c r="E82" s="59">
        <f t="shared" si="5"/>
        <v>743.4</v>
      </c>
      <c r="F82" s="276">
        <f t="shared" si="1"/>
        <v>7434</v>
      </c>
      <c r="G82" s="357"/>
      <c r="H82" s="253">
        <v>531</v>
      </c>
      <c r="I82" s="277">
        <v>1.4</v>
      </c>
      <c r="J82" s="277"/>
    </row>
    <row r="83" spans="1:10" ht="20.100000000000001" customHeight="1" x14ac:dyDescent="0.25">
      <c r="A83" s="61" t="s">
        <v>370</v>
      </c>
      <c r="B83" s="275" t="s">
        <v>248</v>
      </c>
      <c r="C83" s="61" t="s">
        <v>205</v>
      </c>
      <c r="D83" s="337">
        <v>1</v>
      </c>
      <c r="E83" s="59">
        <f t="shared" si="5"/>
        <v>2409.3999999999996</v>
      </c>
      <c r="F83" s="276">
        <f t="shared" ref="F83:F151" si="6">+E83*D83</f>
        <v>2409.3999999999996</v>
      </c>
      <c r="G83" s="357"/>
      <c r="H83" s="253">
        <v>1721</v>
      </c>
      <c r="I83" s="277">
        <v>1.4</v>
      </c>
      <c r="J83" s="277"/>
    </row>
    <row r="84" spans="1:10" ht="20.100000000000001" customHeight="1" x14ac:dyDescent="0.25">
      <c r="A84" s="61" t="s">
        <v>371</v>
      </c>
      <c r="B84" s="275" t="s">
        <v>497</v>
      </c>
      <c r="C84" s="61" t="s">
        <v>203</v>
      </c>
      <c r="D84" s="337">
        <v>200</v>
      </c>
      <c r="E84" s="59">
        <f t="shared" si="5"/>
        <v>133</v>
      </c>
      <c r="F84" s="276">
        <f t="shared" si="6"/>
        <v>26600</v>
      </c>
      <c r="G84" s="357"/>
      <c r="H84" s="253">
        <v>95</v>
      </c>
      <c r="I84" s="277">
        <v>1.4</v>
      </c>
      <c r="J84" s="277"/>
    </row>
    <row r="85" spans="1:10" ht="20.100000000000001" customHeight="1" x14ac:dyDescent="0.25">
      <c r="A85" s="61" t="s">
        <v>372</v>
      </c>
      <c r="B85" s="275" t="s">
        <v>250</v>
      </c>
      <c r="C85" s="61" t="s">
        <v>203</v>
      </c>
      <c r="D85" s="337">
        <v>200</v>
      </c>
      <c r="E85" s="59">
        <f t="shared" si="5"/>
        <v>116.19999999999999</v>
      </c>
      <c r="F85" s="276">
        <f t="shared" si="6"/>
        <v>23239.999999999996</v>
      </c>
      <c r="G85" s="357"/>
      <c r="H85" s="253">
        <v>83</v>
      </c>
      <c r="I85" s="277">
        <v>1.4</v>
      </c>
      <c r="J85" s="277"/>
    </row>
    <row r="86" spans="1:10" ht="20.100000000000001" customHeight="1" x14ac:dyDescent="0.25">
      <c r="A86" s="61" t="s">
        <v>373</v>
      </c>
      <c r="B86" s="275" t="s">
        <v>251</v>
      </c>
      <c r="C86" s="61" t="s">
        <v>203</v>
      </c>
      <c r="D86" s="337">
        <v>25</v>
      </c>
      <c r="E86" s="59">
        <f t="shared" si="5"/>
        <v>62.999999999999993</v>
      </c>
      <c r="F86" s="276">
        <f t="shared" si="6"/>
        <v>1574.9999999999998</v>
      </c>
      <c r="G86" s="357"/>
      <c r="H86" s="253">
        <v>45</v>
      </c>
      <c r="I86" s="277">
        <v>1.4</v>
      </c>
      <c r="J86" s="277"/>
    </row>
    <row r="87" spans="1:10" ht="20.100000000000001" customHeight="1" x14ac:dyDescent="0.25">
      <c r="A87" s="61" t="s">
        <v>374</v>
      </c>
      <c r="B87" s="275" t="s">
        <v>252</v>
      </c>
      <c r="C87" s="61" t="s">
        <v>203</v>
      </c>
      <c r="D87" s="337">
        <v>100</v>
      </c>
      <c r="E87" s="59">
        <f t="shared" si="5"/>
        <v>53.199999999999996</v>
      </c>
      <c r="F87" s="276">
        <f t="shared" si="6"/>
        <v>5320</v>
      </c>
      <c r="G87" s="357"/>
      <c r="H87" s="253">
        <v>38</v>
      </c>
      <c r="I87" s="277">
        <v>1.4</v>
      </c>
      <c r="J87" s="277"/>
    </row>
    <row r="88" spans="1:10" ht="20.100000000000001" customHeight="1" x14ac:dyDescent="0.25">
      <c r="A88" s="61" t="s">
        <v>375</v>
      </c>
      <c r="B88" s="275" t="s">
        <v>498</v>
      </c>
      <c r="C88" s="61" t="s">
        <v>203</v>
      </c>
      <c r="D88" s="337">
        <v>10</v>
      </c>
      <c r="E88" s="59">
        <f t="shared" si="5"/>
        <v>15839.599999999999</v>
      </c>
      <c r="F88" s="276">
        <f t="shared" si="6"/>
        <v>158396</v>
      </c>
      <c r="G88" s="357"/>
      <c r="H88" s="253">
        <v>11314</v>
      </c>
      <c r="I88" s="277">
        <v>1.4</v>
      </c>
      <c r="J88" s="277"/>
    </row>
    <row r="89" spans="1:10" ht="20.100000000000001" customHeight="1" x14ac:dyDescent="0.25">
      <c r="A89" s="61" t="s">
        <v>376</v>
      </c>
      <c r="B89" s="275" t="s">
        <v>254</v>
      </c>
      <c r="C89" s="61" t="s">
        <v>203</v>
      </c>
      <c r="D89" s="337">
        <v>35</v>
      </c>
      <c r="E89" s="59">
        <f t="shared" si="5"/>
        <v>3465</v>
      </c>
      <c r="F89" s="276">
        <f t="shared" si="6"/>
        <v>121275</v>
      </c>
      <c r="G89" s="357"/>
      <c r="H89" s="253">
        <v>2475</v>
      </c>
      <c r="I89" s="277">
        <v>1.4</v>
      </c>
      <c r="J89" s="277"/>
    </row>
    <row r="90" spans="1:10" ht="20.100000000000001" customHeight="1" x14ac:dyDescent="0.25">
      <c r="A90" s="61" t="s">
        <v>377</v>
      </c>
      <c r="B90" s="275" t="s">
        <v>255</v>
      </c>
      <c r="C90" s="61" t="s">
        <v>203</v>
      </c>
      <c r="D90" s="337">
        <v>1</v>
      </c>
      <c r="E90" s="59">
        <f t="shared" si="5"/>
        <v>27300</v>
      </c>
      <c r="F90" s="276">
        <f t="shared" si="6"/>
        <v>27300</v>
      </c>
      <c r="G90" s="357"/>
      <c r="H90" s="253">
        <v>19500</v>
      </c>
      <c r="I90" s="277">
        <v>1.4</v>
      </c>
      <c r="J90" s="277"/>
    </row>
    <row r="91" spans="1:10" ht="20.100000000000001" customHeight="1" x14ac:dyDescent="0.25">
      <c r="A91" s="61" t="s">
        <v>378</v>
      </c>
      <c r="B91" s="275" t="s">
        <v>256</v>
      </c>
      <c r="C91" s="61" t="s">
        <v>257</v>
      </c>
      <c r="D91" s="337">
        <v>2</v>
      </c>
      <c r="E91" s="59">
        <f t="shared" si="5"/>
        <v>9310</v>
      </c>
      <c r="F91" s="276">
        <f t="shared" si="6"/>
        <v>18620</v>
      </c>
      <c r="G91" s="357"/>
      <c r="H91" s="253">
        <v>6650</v>
      </c>
      <c r="I91" s="277">
        <v>1.4</v>
      </c>
      <c r="J91" s="277"/>
    </row>
    <row r="92" spans="1:10" ht="20.100000000000001" customHeight="1" x14ac:dyDescent="0.25">
      <c r="A92" s="61" t="s">
        <v>379</v>
      </c>
      <c r="B92" s="275" t="s">
        <v>258</v>
      </c>
      <c r="C92" s="61" t="s">
        <v>257</v>
      </c>
      <c r="D92" s="337">
        <v>2</v>
      </c>
      <c r="E92" s="59">
        <f t="shared" si="5"/>
        <v>4844</v>
      </c>
      <c r="F92" s="276">
        <f t="shared" si="6"/>
        <v>9688</v>
      </c>
      <c r="G92" s="357"/>
      <c r="H92" s="253">
        <v>3460</v>
      </c>
      <c r="I92" s="277">
        <v>1.4</v>
      </c>
      <c r="J92" s="277"/>
    </row>
    <row r="93" spans="1:10" ht="20.100000000000001" customHeight="1" x14ac:dyDescent="0.25">
      <c r="A93" s="61" t="s">
        <v>380</v>
      </c>
      <c r="B93" s="275" t="s">
        <v>259</v>
      </c>
      <c r="C93" s="61" t="s">
        <v>203</v>
      </c>
      <c r="D93" s="337">
        <v>100</v>
      </c>
      <c r="E93" s="59">
        <f t="shared" si="5"/>
        <v>630</v>
      </c>
      <c r="F93" s="276">
        <f t="shared" si="6"/>
        <v>63000</v>
      </c>
      <c r="G93" s="357"/>
      <c r="H93" s="253">
        <v>450</v>
      </c>
      <c r="I93" s="277">
        <v>1.4</v>
      </c>
      <c r="J93" s="277"/>
    </row>
    <row r="94" spans="1:10" ht="20.100000000000001" customHeight="1" x14ac:dyDescent="0.25">
      <c r="A94" s="61" t="s">
        <v>381</v>
      </c>
      <c r="B94" s="275" t="s">
        <v>499</v>
      </c>
      <c r="C94" s="61" t="s">
        <v>204</v>
      </c>
      <c r="D94" s="337">
        <v>1</v>
      </c>
      <c r="E94" s="59">
        <f t="shared" si="5"/>
        <v>350000</v>
      </c>
      <c r="F94" s="276">
        <f t="shared" si="6"/>
        <v>350000</v>
      </c>
      <c r="G94" s="357"/>
      <c r="H94" s="253">
        <v>250000</v>
      </c>
      <c r="I94" s="277">
        <v>1.4</v>
      </c>
      <c r="J94" s="277"/>
    </row>
    <row r="95" spans="1:10" ht="15" customHeight="1" x14ac:dyDescent="0.25">
      <c r="A95" s="61"/>
      <c r="B95" s="275"/>
      <c r="C95" s="61"/>
      <c r="D95" s="337"/>
      <c r="E95" s="59">
        <f t="shared" si="5"/>
        <v>0</v>
      </c>
      <c r="F95" s="278"/>
      <c r="G95" s="358"/>
      <c r="I95" s="277"/>
      <c r="J95" s="277"/>
    </row>
    <row r="96" spans="1:10" s="272" customFormat="1" ht="20.100000000000001" customHeight="1" x14ac:dyDescent="0.25">
      <c r="A96" s="267" t="s">
        <v>382</v>
      </c>
      <c r="B96" s="273" t="s">
        <v>500</v>
      </c>
      <c r="C96" s="267"/>
      <c r="D96" s="336"/>
      <c r="E96" s="59">
        <f t="shared" si="5"/>
        <v>0</v>
      </c>
      <c r="F96" s="276"/>
      <c r="G96" s="357"/>
      <c r="H96" s="274"/>
      <c r="I96" s="277"/>
      <c r="J96" s="261"/>
    </row>
    <row r="97" spans="1:10" ht="20.100000000000001" customHeight="1" x14ac:dyDescent="0.25">
      <c r="A97" s="61" t="s">
        <v>289</v>
      </c>
      <c r="B97" s="275" t="s">
        <v>483</v>
      </c>
      <c r="C97" s="61" t="s">
        <v>205</v>
      </c>
      <c r="D97" s="338">
        <v>8000</v>
      </c>
      <c r="E97" s="59">
        <f t="shared" si="5"/>
        <v>8154.9999999999991</v>
      </c>
      <c r="F97" s="353">
        <f>+E97*D97</f>
        <v>65239999.999999993</v>
      </c>
      <c r="G97" s="359"/>
      <c r="H97" s="253">
        <v>5825</v>
      </c>
      <c r="I97" s="277">
        <v>1.4</v>
      </c>
      <c r="J97" s="277"/>
    </row>
    <row r="98" spans="1:10" ht="20.100000000000001" customHeight="1" x14ac:dyDescent="0.25">
      <c r="A98" s="61" t="s">
        <v>384</v>
      </c>
      <c r="B98" s="275" t="s">
        <v>292</v>
      </c>
      <c r="C98" s="61" t="s">
        <v>205</v>
      </c>
      <c r="D98" s="337">
        <v>8000</v>
      </c>
      <c r="E98" s="59">
        <f t="shared" si="5"/>
        <v>3465</v>
      </c>
      <c r="F98" s="276">
        <f t="shared" si="6"/>
        <v>27720000</v>
      </c>
      <c r="G98" s="357"/>
      <c r="H98" s="253">
        <v>2475</v>
      </c>
      <c r="I98" s="277">
        <v>1.4</v>
      </c>
      <c r="J98" s="277"/>
    </row>
    <row r="99" spans="1:10" ht="20.100000000000001" customHeight="1" x14ac:dyDescent="0.25">
      <c r="A99" s="61" t="s">
        <v>385</v>
      </c>
      <c r="B99" s="275" t="s">
        <v>294</v>
      </c>
      <c r="C99" s="61" t="s">
        <v>205</v>
      </c>
      <c r="D99" s="337">
        <v>2000</v>
      </c>
      <c r="E99" s="59">
        <f t="shared" si="5"/>
        <v>1351</v>
      </c>
      <c r="F99" s="276">
        <f t="shared" si="6"/>
        <v>2702000</v>
      </c>
      <c r="G99" s="357"/>
      <c r="H99" s="253">
        <v>965</v>
      </c>
      <c r="I99" s="277">
        <v>1.4</v>
      </c>
      <c r="J99" s="277"/>
    </row>
    <row r="100" spans="1:10" ht="20.100000000000001" customHeight="1" x14ac:dyDescent="0.25">
      <c r="A100" s="61" t="s">
        <v>386</v>
      </c>
      <c r="B100" s="275" t="s">
        <v>296</v>
      </c>
      <c r="C100" s="61" t="s">
        <v>203</v>
      </c>
      <c r="D100" s="337">
        <v>700</v>
      </c>
      <c r="E100" s="59">
        <f t="shared" si="5"/>
        <v>3639.9999999999995</v>
      </c>
      <c r="F100" s="276">
        <f t="shared" si="6"/>
        <v>2547999.9999999995</v>
      </c>
      <c r="G100" s="357"/>
      <c r="H100" s="253">
        <v>2600</v>
      </c>
      <c r="I100" s="277">
        <v>1.4</v>
      </c>
      <c r="J100" s="277"/>
    </row>
    <row r="101" spans="1:10" ht="20.100000000000001" customHeight="1" x14ac:dyDescent="0.25">
      <c r="A101" s="61" t="s">
        <v>387</v>
      </c>
      <c r="B101" s="275" t="s">
        <v>298</v>
      </c>
      <c r="C101" s="61" t="s">
        <v>203</v>
      </c>
      <c r="D101" s="337">
        <v>700</v>
      </c>
      <c r="E101" s="59">
        <f t="shared" si="5"/>
        <v>5691</v>
      </c>
      <c r="F101" s="276">
        <f t="shared" si="6"/>
        <v>3983700</v>
      </c>
      <c r="G101" s="357"/>
      <c r="H101" s="253">
        <v>4065</v>
      </c>
      <c r="I101" s="277">
        <v>1.4</v>
      </c>
      <c r="J101" s="277"/>
    </row>
    <row r="102" spans="1:10" ht="20.100000000000001" customHeight="1" x14ac:dyDescent="0.25">
      <c r="A102" s="61" t="s">
        <v>388</v>
      </c>
      <c r="B102" s="275" t="s">
        <v>218</v>
      </c>
      <c r="C102" s="61" t="s">
        <v>205</v>
      </c>
      <c r="D102" s="337">
        <v>16000</v>
      </c>
      <c r="E102" s="59">
        <f t="shared" si="5"/>
        <v>2100</v>
      </c>
      <c r="F102" s="276">
        <f t="shared" si="6"/>
        <v>33600000</v>
      </c>
      <c r="G102" s="357"/>
      <c r="H102" s="253">
        <v>1500</v>
      </c>
      <c r="I102" s="277">
        <v>1.4</v>
      </c>
      <c r="J102" s="277"/>
    </row>
    <row r="103" spans="1:10" ht="20.100000000000001" customHeight="1" x14ac:dyDescent="0.25">
      <c r="A103" s="61" t="s">
        <v>389</v>
      </c>
      <c r="B103" s="275" t="s">
        <v>202</v>
      </c>
      <c r="C103" s="61" t="s">
        <v>205</v>
      </c>
      <c r="D103" s="337">
        <v>8000</v>
      </c>
      <c r="E103" s="59">
        <f t="shared" si="5"/>
        <v>203</v>
      </c>
      <c r="F103" s="276">
        <f t="shared" si="6"/>
        <v>1624000</v>
      </c>
      <c r="G103" s="357"/>
      <c r="H103" s="253">
        <v>145</v>
      </c>
      <c r="I103" s="277">
        <v>1.4</v>
      </c>
      <c r="J103" s="277"/>
    </row>
    <row r="104" spans="1:10" ht="20.100000000000001" customHeight="1" x14ac:dyDescent="0.25">
      <c r="A104" s="61" t="s">
        <v>390</v>
      </c>
      <c r="B104" s="275" t="s">
        <v>484</v>
      </c>
      <c r="C104" s="61" t="s">
        <v>203</v>
      </c>
      <c r="D104" s="337">
        <v>128</v>
      </c>
      <c r="E104" s="59">
        <f t="shared" si="5"/>
        <v>11900</v>
      </c>
      <c r="F104" s="276">
        <f t="shared" si="6"/>
        <v>1523200</v>
      </c>
      <c r="G104" s="357"/>
      <c r="H104" s="253">
        <v>8500</v>
      </c>
      <c r="I104" s="277">
        <v>1.4</v>
      </c>
      <c r="J104" s="277"/>
    </row>
    <row r="105" spans="1:10" ht="20.100000000000001" customHeight="1" x14ac:dyDescent="0.25">
      <c r="A105" s="61" t="s">
        <v>391</v>
      </c>
      <c r="B105" s="275" t="s">
        <v>485</v>
      </c>
      <c r="C105" s="61" t="s">
        <v>203</v>
      </c>
      <c r="D105" s="337">
        <v>128</v>
      </c>
      <c r="E105" s="59">
        <f t="shared" si="5"/>
        <v>3989.9999999999995</v>
      </c>
      <c r="F105" s="276">
        <f t="shared" si="6"/>
        <v>510719.99999999994</v>
      </c>
      <c r="G105" s="357"/>
      <c r="H105" s="253">
        <v>2850</v>
      </c>
      <c r="I105" s="277">
        <v>1.4</v>
      </c>
      <c r="J105" s="277"/>
    </row>
    <row r="106" spans="1:10" ht="20.100000000000001" customHeight="1" x14ac:dyDescent="0.25">
      <c r="A106" s="61" t="s">
        <v>392</v>
      </c>
      <c r="B106" s="275" t="s">
        <v>486</v>
      </c>
      <c r="C106" s="61" t="s">
        <v>203</v>
      </c>
      <c r="D106" s="337">
        <v>128</v>
      </c>
      <c r="E106" s="59">
        <f t="shared" si="5"/>
        <v>21000</v>
      </c>
      <c r="F106" s="278">
        <f t="shared" ref="F106:F111" si="7">+D106*E106</f>
        <v>2688000</v>
      </c>
      <c r="G106" s="358"/>
      <c r="H106" s="253">
        <v>15000</v>
      </c>
      <c r="I106" s="277">
        <v>1.4</v>
      </c>
      <c r="J106" s="277"/>
    </row>
    <row r="107" spans="1:10" ht="20.100000000000001" customHeight="1" x14ac:dyDescent="0.25">
      <c r="A107" s="61" t="s">
        <v>393</v>
      </c>
      <c r="B107" s="275" t="s">
        <v>222</v>
      </c>
      <c r="C107" s="61" t="s">
        <v>205</v>
      </c>
      <c r="D107" s="337">
        <v>2500</v>
      </c>
      <c r="E107" s="59">
        <f t="shared" si="5"/>
        <v>17500</v>
      </c>
      <c r="F107" s="278">
        <f t="shared" si="7"/>
        <v>43750000</v>
      </c>
      <c r="G107" s="358"/>
      <c r="H107" s="253">
        <v>12500</v>
      </c>
      <c r="I107" s="277">
        <v>1.4</v>
      </c>
      <c r="J107" s="277"/>
    </row>
    <row r="108" spans="1:10" ht="20.100000000000001" customHeight="1" x14ac:dyDescent="0.25">
      <c r="A108" s="61" t="s">
        <v>394</v>
      </c>
      <c r="B108" s="275" t="s">
        <v>223</v>
      </c>
      <c r="C108" s="61" t="s">
        <v>205</v>
      </c>
      <c r="D108" s="337">
        <v>5000</v>
      </c>
      <c r="E108" s="226">
        <v>3500</v>
      </c>
      <c r="F108" s="278">
        <f t="shared" si="7"/>
        <v>17500000</v>
      </c>
      <c r="G108" s="358"/>
      <c r="H108" s="253">
        <v>1500</v>
      </c>
      <c r="I108" s="277">
        <v>1.4</v>
      </c>
      <c r="J108" s="277"/>
    </row>
    <row r="109" spans="1:10" ht="20.100000000000001" customHeight="1" x14ac:dyDescent="0.25">
      <c r="A109" s="61" t="s">
        <v>395</v>
      </c>
      <c r="B109" s="275" t="s">
        <v>275</v>
      </c>
      <c r="C109" s="61" t="s">
        <v>205</v>
      </c>
      <c r="D109" s="337">
        <v>100</v>
      </c>
      <c r="E109" s="59">
        <f t="shared" ref="E109:E126" si="8">+H109*I109</f>
        <v>28000</v>
      </c>
      <c r="F109" s="278">
        <f t="shared" si="7"/>
        <v>2800000</v>
      </c>
      <c r="G109" s="358"/>
      <c r="H109" s="253">
        <v>20000</v>
      </c>
      <c r="I109" s="277">
        <v>1.4</v>
      </c>
      <c r="J109" s="277"/>
    </row>
    <row r="110" spans="1:10" ht="20.100000000000001" customHeight="1" x14ac:dyDescent="0.25">
      <c r="A110" s="61" t="s">
        <v>396</v>
      </c>
      <c r="B110" s="275" t="s">
        <v>276</v>
      </c>
      <c r="C110" s="61" t="s">
        <v>205</v>
      </c>
      <c r="D110" s="337">
        <v>200</v>
      </c>
      <c r="E110" s="59">
        <f t="shared" si="8"/>
        <v>21000</v>
      </c>
      <c r="F110" s="278">
        <f t="shared" si="7"/>
        <v>4200000</v>
      </c>
      <c r="G110" s="358"/>
      <c r="H110" s="253">
        <v>15000</v>
      </c>
      <c r="I110" s="277">
        <v>1.4</v>
      </c>
      <c r="J110" s="277"/>
    </row>
    <row r="111" spans="1:10" ht="20.100000000000001" customHeight="1" x14ac:dyDescent="0.25">
      <c r="A111" s="61" t="s">
        <v>397</v>
      </c>
      <c r="B111" s="275" t="s">
        <v>311</v>
      </c>
      <c r="C111" s="61" t="s">
        <v>203</v>
      </c>
      <c r="D111" s="337">
        <v>128</v>
      </c>
      <c r="E111" s="59">
        <f t="shared" si="8"/>
        <v>35000</v>
      </c>
      <c r="F111" s="278">
        <f t="shared" si="7"/>
        <v>4480000</v>
      </c>
      <c r="G111" s="358"/>
      <c r="H111" s="253">
        <v>25000</v>
      </c>
      <c r="I111" s="277">
        <v>1.4</v>
      </c>
      <c r="J111" s="277"/>
    </row>
    <row r="112" spans="1:10" ht="15" customHeight="1" x14ac:dyDescent="0.25">
      <c r="A112" s="61"/>
      <c r="B112" s="275"/>
      <c r="C112" s="61"/>
      <c r="D112" s="337"/>
      <c r="E112" s="59">
        <f t="shared" si="8"/>
        <v>0</v>
      </c>
      <c r="F112" s="278"/>
      <c r="G112" s="358"/>
      <c r="I112" s="277"/>
      <c r="J112" s="277"/>
    </row>
    <row r="113" spans="1:10" s="272" customFormat="1" ht="20.100000000000001" customHeight="1" x14ac:dyDescent="0.25">
      <c r="A113" s="267" t="s">
        <v>398</v>
      </c>
      <c r="B113" s="273" t="s">
        <v>501</v>
      </c>
      <c r="C113" s="267"/>
      <c r="D113" s="336"/>
      <c r="E113" s="59">
        <f t="shared" si="8"/>
        <v>0</v>
      </c>
      <c r="F113" s="276"/>
      <c r="G113" s="357"/>
      <c r="H113" s="274"/>
      <c r="I113" s="277"/>
      <c r="J113" s="261"/>
    </row>
    <row r="114" spans="1:10" ht="20.100000000000001" customHeight="1" x14ac:dyDescent="0.25">
      <c r="A114" s="61" t="s">
        <v>289</v>
      </c>
      <c r="B114" s="275" t="s">
        <v>483</v>
      </c>
      <c r="C114" s="61" t="s">
        <v>205</v>
      </c>
      <c r="D114" s="338">
        <v>9000</v>
      </c>
      <c r="E114" s="59">
        <f t="shared" si="8"/>
        <v>8154.9999999999991</v>
      </c>
      <c r="F114" s="353">
        <f>+E114*D114</f>
        <v>73394999.999999985</v>
      </c>
      <c r="G114" s="359"/>
      <c r="H114" s="253">
        <v>5825</v>
      </c>
      <c r="I114" s="277">
        <v>1.4</v>
      </c>
      <c r="J114" s="277"/>
    </row>
    <row r="115" spans="1:10" ht="20.100000000000001" customHeight="1" x14ac:dyDescent="0.25">
      <c r="A115" s="61" t="s">
        <v>400</v>
      </c>
      <c r="B115" s="275" t="s">
        <v>292</v>
      </c>
      <c r="C115" s="61" t="s">
        <v>205</v>
      </c>
      <c r="D115" s="337">
        <v>9000</v>
      </c>
      <c r="E115" s="59">
        <f t="shared" si="8"/>
        <v>3465</v>
      </c>
      <c r="F115" s="276">
        <f t="shared" si="6"/>
        <v>31185000</v>
      </c>
      <c r="G115" s="357"/>
      <c r="H115" s="253">
        <v>2475</v>
      </c>
      <c r="I115" s="277">
        <v>1.4</v>
      </c>
      <c r="J115" s="277"/>
    </row>
    <row r="116" spans="1:10" ht="20.100000000000001" customHeight="1" x14ac:dyDescent="0.25">
      <c r="A116" s="61" t="s">
        <v>401</v>
      </c>
      <c r="B116" s="275" t="s">
        <v>294</v>
      </c>
      <c r="C116" s="61" t="s">
        <v>205</v>
      </c>
      <c r="D116" s="337">
        <v>1500</v>
      </c>
      <c r="E116" s="59">
        <f t="shared" si="8"/>
        <v>1351</v>
      </c>
      <c r="F116" s="276">
        <f t="shared" si="6"/>
        <v>2026500</v>
      </c>
      <c r="G116" s="357"/>
      <c r="H116" s="253">
        <v>965</v>
      </c>
      <c r="I116" s="277">
        <v>1.4</v>
      </c>
      <c r="J116" s="277"/>
    </row>
    <row r="117" spans="1:10" ht="20.100000000000001" customHeight="1" x14ac:dyDescent="0.25">
      <c r="A117" s="61" t="s">
        <v>402</v>
      </c>
      <c r="B117" s="275" t="s">
        <v>216</v>
      </c>
      <c r="C117" s="61" t="s">
        <v>203</v>
      </c>
      <c r="D117" s="337">
        <v>625</v>
      </c>
      <c r="E117" s="59">
        <f t="shared" si="8"/>
        <v>3639.9999999999995</v>
      </c>
      <c r="F117" s="276">
        <f t="shared" si="6"/>
        <v>2274999.9999999995</v>
      </c>
      <c r="G117" s="357"/>
      <c r="H117" s="253">
        <v>2600</v>
      </c>
      <c r="I117" s="277">
        <v>1.4</v>
      </c>
      <c r="J117" s="277"/>
    </row>
    <row r="118" spans="1:10" ht="20.100000000000001" customHeight="1" x14ac:dyDescent="0.25">
      <c r="A118" s="61" t="s">
        <v>403</v>
      </c>
      <c r="B118" s="275" t="s">
        <v>298</v>
      </c>
      <c r="C118" s="61" t="s">
        <v>203</v>
      </c>
      <c r="D118" s="337">
        <v>625</v>
      </c>
      <c r="E118" s="59">
        <f t="shared" si="8"/>
        <v>5691</v>
      </c>
      <c r="F118" s="276">
        <f t="shared" si="6"/>
        <v>3556875</v>
      </c>
      <c r="G118" s="357"/>
      <c r="H118" s="253">
        <v>4065</v>
      </c>
      <c r="I118" s="277">
        <v>1.4</v>
      </c>
      <c r="J118" s="277"/>
    </row>
    <row r="119" spans="1:10" ht="20.100000000000001" customHeight="1" x14ac:dyDescent="0.25">
      <c r="A119" s="61" t="s">
        <v>404</v>
      </c>
      <c r="B119" s="275" t="s">
        <v>218</v>
      </c>
      <c r="C119" s="61" t="s">
        <v>205</v>
      </c>
      <c r="D119" s="337">
        <v>18000</v>
      </c>
      <c r="E119" s="59">
        <f t="shared" si="8"/>
        <v>2100</v>
      </c>
      <c r="F119" s="276">
        <f t="shared" si="6"/>
        <v>37800000</v>
      </c>
      <c r="G119" s="357"/>
      <c r="H119" s="253">
        <v>1500</v>
      </c>
      <c r="I119" s="277">
        <v>1.4</v>
      </c>
      <c r="J119" s="277"/>
    </row>
    <row r="120" spans="1:10" ht="20.100000000000001" customHeight="1" x14ac:dyDescent="0.25">
      <c r="A120" s="61" t="s">
        <v>405</v>
      </c>
      <c r="B120" s="275" t="s">
        <v>202</v>
      </c>
      <c r="C120" s="61" t="s">
        <v>205</v>
      </c>
      <c r="D120" s="337">
        <v>9000</v>
      </c>
      <c r="E120" s="59">
        <f t="shared" si="8"/>
        <v>203</v>
      </c>
      <c r="F120" s="276">
        <f t="shared" si="6"/>
        <v>1827000</v>
      </c>
      <c r="G120" s="357"/>
      <c r="H120" s="253">
        <v>145</v>
      </c>
      <c r="I120" s="277">
        <v>1.4</v>
      </c>
      <c r="J120" s="277"/>
    </row>
    <row r="121" spans="1:10" ht="20.100000000000001" customHeight="1" x14ac:dyDescent="0.25">
      <c r="A121" s="61" t="s">
        <v>406</v>
      </c>
      <c r="B121" s="275" t="s">
        <v>490</v>
      </c>
      <c r="C121" s="61" t="s">
        <v>203</v>
      </c>
      <c r="D121" s="337">
        <v>117</v>
      </c>
      <c r="E121" s="59">
        <f t="shared" si="8"/>
        <v>11900</v>
      </c>
      <c r="F121" s="276">
        <f t="shared" si="6"/>
        <v>1392300</v>
      </c>
      <c r="G121" s="357"/>
      <c r="H121" s="253">
        <v>8500</v>
      </c>
      <c r="I121" s="277">
        <v>1.4</v>
      </c>
      <c r="J121" s="277"/>
    </row>
    <row r="122" spans="1:10" ht="20.100000000000001" customHeight="1" x14ac:dyDescent="0.25">
      <c r="A122" s="61" t="s">
        <v>407</v>
      </c>
      <c r="B122" s="275" t="s">
        <v>485</v>
      </c>
      <c r="C122" s="61" t="s">
        <v>203</v>
      </c>
      <c r="D122" s="337">
        <v>117</v>
      </c>
      <c r="E122" s="59">
        <f t="shared" si="8"/>
        <v>3989.9999999999995</v>
      </c>
      <c r="F122" s="276">
        <f t="shared" si="6"/>
        <v>466829.99999999994</v>
      </c>
      <c r="G122" s="357"/>
      <c r="H122" s="253">
        <v>2850</v>
      </c>
      <c r="I122" s="277">
        <v>1.4</v>
      </c>
      <c r="J122" s="277"/>
    </row>
    <row r="123" spans="1:10" ht="20.100000000000001" customHeight="1" x14ac:dyDescent="0.25">
      <c r="A123" s="61" t="s">
        <v>408</v>
      </c>
      <c r="B123" s="275" t="s">
        <v>486</v>
      </c>
      <c r="C123" s="61" t="s">
        <v>203</v>
      </c>
      <c r="D123" s="337">
        <v>117</v>
      </c>
      <c r="E123" s="59">
        <f t="shared" si="8"/>
        <v>21000</v>
      </c>
      <c r="F123" s="278">
        <f t="shared" ref="F123:F134" si="9">+D123*E123</f>
        <v>2457000</v>
      </c>
      <c r="G123" s="358"/>
      <c r="H123" s="253">
        <v>15000</v>
      </c>
      <c r="I123" s="277">
        <v>1.4</v>
      </c>
      <c r="J123" s="277"/>
    </row>
    <row r="124" spans="1:10" ht="20.100000000000001" customHeight="1" x14ac:dyDescent="0.25">
      <c r="A124" s="61" t="s">
        <v>409</v>
      </c>
      <c r="B124" s="275" t="s">
        <v>222</v>
      </c>
      <c r="C124" s="61" t="s">
        <v>205</v>
      </c>
      <c r="D124" s="337">
        <v>1500</v>
      </c>
      <c r="E124" s="59">
        <f t="shared" si="8"/>
        <v>17500</v>
      </c>
      <c r="F124" s="278">
        <f t="shared" si="9"/>
        <v>26250000</v>
      </c>
      <c r="G124" s="358"/>
      <c r="H124" s="253">
        <v>12500</v>
      </c>
      <c r="I124" s="277">
        <v>1.4</v>
      </c>
      <c r="J124" s="277"/>
    </row>
    <row r="125" spans="1:10" ht="20.100000000000001" customHeight="1" x14ac:dyDescent="0.25">
      <c r="A125" s="61" t="s">
        <v>410</v>
      </c>
      <c r="B125" s="275" t="s">
        <v>223</v>
      </c>
      <c r="C125" s="61" t="s">
        <v>205</v>
      </c>
      <c r="D125" s="337">
        <v>6000</v>
      </c>
      <c r="E125" s="226">
        <f t="shared" si="8"/>
        <v>2100</v>
      </c>
      <c r="F125" s="278">
        <f t="shared" si="9"/>
        <v>12600000</v>
      </c>
      <c r="G125" s="358"/>
      <c r="H125" s="253">
        <v>1500</v>
      </c>
      <c r="I125" s="277">
        <v>1.4</v>
      </c>
      <c r="J125" s="277"/>
    </row>
    <row r="126" spans="1:10" ht="20.100000000000001" customHeight="1" x14ac:dyDescent="0.25">
      <c r="A126" s="61" t="s">
        <v>411</v>
      </c>
      <c r="B126" s="275" t="s">
        <v>311</v>
      </c>
      <c r="C126" s="61" t="s">
        <v>203</v>
      </c>
      <c r="D126" s="337">
        <v>117</v>
      </c>
      <c r="E126" s="59">
        <f t="shared" si="8"/>
        <v>35000</v>
      </c>
      <c r="F126" s="278">
        <f t="shared" si="9"/>
        <v>4095000</v>
      </c>
      <c r="G126" s="358"/>
      <c r="H126" s="253">
        <v>25000</v>
      </c>
      <c r="I126" s="277">
        <v>1.4</v>
      </c>
      <c r="J126" s="277"/>
    </row>
    <row r="127" spans="1:10" ht="20.100000000000001" customHeight="1" x14ac:dyDescent="0.25">
      <c r="A127" s="61" t="s">
        <v>412</v>
      </c>
      <c r="B127" s="275" t="s">
        <v>269</v>
      </c>
      <c r="C127" s="61" t="s">
        <v>204</v>
      </c>
      <c r="D127" s="337">
        <v>4</v>
      </c>
      <c r="E127" s="59">
        <v>2000000</v>
      </c>
      <c r="F127" s="278">
        <f t="shared" si="9"/>
        <v>8000000</v>
      </c>
      <c r="G127" s="358"/>
      <c r="H127" s="253">
        <v>350000</v>
      </c>
      <c r="I127" s="277">
        <v>1.4</v>
      </c>
      <c r="J127" s="277"/>
    </row>
    <row r="128" spans="1:10" ht="20.100000000000001" customHeight="1" x14ac:dyDescent="0.25">
      <c r="A128" s="61" t="s">
        <v>413</v>
      </c>
      <c r="B128" s="275" t="s">
        <v>276</v>
      </c>
      <c r="C128" s="61" t="s">
        <v>205</v>
      </c>
      <c r="D128" s="337">
        <v>110</v>
      </c>
      <c r="E128" s="59">
        <f>+H128*I128</f>
        <v>28000</v>
      </c>
      <c r="F128" s="278">
        <f t="shared" si="9"/>
        <v>3080000</v>
      </c>
      <c r="G128" s="358"/>
      <c r="H128" s="253">
        <v>20000</v>
      </c>
      <c r="I128" s="277">
        <v>1.4</v>
      </c>
      <c r="J128" s="277"/>
    </row>
    <row r="129" spans="1:10" ht="20.100000000000001" customHeight="1" x14ac:dyDescent="0.25">
      <c r="A129" s="61" t="s">
        <v>414</v>
      </c>
      <c r="B129" s="275" t="s">
        <v>275</v>
      </c>
      <c r="C129" s="61" t="s">
        <v>205</v>
      </c>
      <c r="D129" s="337">
        <v>60</v>
      </c>
      <c r="E129" s="59">
        <f>+H129*I129</f>
        <v>21000</v>
      </c>
      <c r="F129" s="278">
        <f t="shared" si="9"/>
        <v>1260000</v>
      </c>
      <c r="G129" s="358"/>
      <c r="H129" s="253">
        <v>15000</v>
      </c>
      <c r="I129" s="277">
        <v>1.4</v>
      </c>
      <c r="J129" s="277"/>
    </row>
    <row r="130" spans="1:10" ht="20.100000000000001" customHeight="1" x14ac:dyDescent="0.25">
      <c r="A130" s="61" t="s">
        <v>415</v>
      </c>
      <c r="B130" s="275" t="s">
        <v>270</v>
      </c>
      <c r="C130" s="61" t="s">
        <v>204</v>
      </c>
      <c r="D130" s="337">
        <v>1</v>
      </c>
      <c r="E130" s="59">
        <f>+H130*I130</f>
        <v>1820000</v>
      </c>
      <c r="F130" s="278">
        <f t="shared" si="9"/>
        <v>1820000</v>
      </c>
      <c r="G130" s="358"/>
      <c r="H130" s="253">
        <v>1300000</v>
      </c>
      <c r="I130" s="277">
        <v>1.4</v>
      </c>
      <c r="J130" s="277"/>
    </row>
    <row r="131" spans="1:10" ht="20.100000000000001" customHeight="1" x14ac:dyDescent="0.25">
      <c r="A131" s="61" t="s">
        <v>416</v>
      </c>
      <c r="B131" s="275" t="s">
        <v>271</v>
      </c>
      <c r="C131" s="61" t="s">
        <v>205</v>
      </c>
      <c r="D131" s="337">
        <v>6</v>
      </c>
      <c r="E131" s="59">
        <f>+H131*I131</f>
        <v>6300</v>
      </c>
      <c r="F131" s="278">
        <f t="shared" si="9"/>
        <v>37800</v>
      </c>
      <c r="G131" s="358"/>
      <c r="H131" s="253">
        <v>4500</v>
      </c>
      <c r="I131" s="277">
        <v>1.4</v>
      </c>
      <c r="J131" s="277"/>
    </row>
    <row r="132" spans="1:10" ht="20.100000000000001" customHeight="1" x14ac:dyDescent="0.25">
      <c r="A132" s="61" t="s">
        <v>417</v>
      </c>
      <c r="B132" s="275" t="s">
        <v>502</v>
      </c>
      <c r="C132" s="61" t="s">
        <v>418</v>
      </c>
      <c r="D132" s="337">
        <v>30</v>
      </c>
      <c r="E132" s="59">
        <v>300000</v>
      </c>
      <c r="F132" s="278">
        <f t="shared" si="9"/>
        <v>9000000</v>
      </c>
      <c r="G132" s="358"/>
      <c r="H132" s="253">
        <v>150000</v>
      </c>
      <c r="I132" s="277">
        <v>1.4</v>
      </c>
      <c r="J132" s="277"/>
    </row>
    <row r="133" spans="1:10" ht="20.100000000000001" customHeight="1" x14ac:dyDescent="0.25">
      <c r="A133" s="61" t="s">
        <v>419</v>
      </c>
      <c r="B133" s="275" t="s">
        <v>503</v>
      </c>
      <c r="C133" s="61" t="s">
        <v>418</v>
      </c>
      <c r="D133" s="337">
        <v>30</v>
      </c>
      <c r="E133" s="59">
        <f>+H133*I133</f>
        <v>420000</v>
      </c>
      <c r="F133" s="278">
        <f t="shared" si="9"/>
        <v>12600000</v>
      </c>
      <c r="G133" s="358"/>
      <c r="H133" s="253">
        <v>300000</v>
      </c>
      <c r="I133" s="277">
        <v>1.4</v>
      </c>
      <c r="J133" s="277"/>
    </row>
    <row r="134" spans="1:10" ht="20.100000000000001" customHeight="1" x14ac:dyDescent="0.25">
      <c r="A134" s="61" t="s">
        <v>421</v>
      </c>
      <c r="B134" s="275" t="s">
        <v>504</v>
      </c>
      <c r="C134" s="61" t="s">
        <v>418</v>
      </c>
      <c r="D134" s="337">
        <v>60</v>
      </c>
      <c r="E134" s="59">
        <v>200000</v>
      </c>
      <c r="F134" s="278">
        <f t="shared" si="9"/>
        <v>12000000</v>
      </c>
      <c r="G134" s="358"/>
      <c r="H134" s="253">
        <v>130000</v>
      </c>
      <c r="I134" s="277">
        <v>1.4</v>
      </c>
      <c r="J134" s="277"/>
    </row>
    <row r="135" spans="1:10" ht="15" customHeight="1" x14ac:dyDescent="0.25">
      <c r="A135" s="61"/>
      <c r="B135" s="275"/>
      <c r="C135" s="61"/>
      <c r="D135" s="337"/>
      <c r="E135" s="59"/>
      <c r="F135" s="278"/>
      <c r="G135" s="358"/>
      <c r="I135" s="277"/>
      <c r="J135" s="277"/>
    </row>
    <row r="136" spans="1:10" s="272" customFormat="1" ht="20.100000000000001" customHeight="1" x14ac:dyDescent="0.25">
      <c r="A136" s="267" t="s">
        <v>423</v>
      </c>
      <c r="B136" s="354" t="s">
        <v>505</v>
      </c>
      <c r="C136" s="267"/>
      <c r="D136" s="336"/>
      <c r="E136" s="59"/>
      <c r="F136" s="276"/>
      <c r="G136" s="357"/>
      <c r="H136" s="274"/>
      <c r="I136" s="277"/>
      <c r="J136" s="261"/>
    </row>
    <row r="137" spans="1:10" ht="20.100000000000001" customHeight="1" x14ac:dyDescent="0.25">
      <c r="A137" s="61" t="s">
        <v>424</v>
      </c>
      <c r="B137" s="275" t="s">
        <v>292</v>
      </c>
      <c r="C137" s="61" t="s">
        <v>205</v>
      </c>
      <c r="D137" s="337">
        <v>1500</v>
      </c>
      <c r="E137" s="59">
        <f t="shared" ref="E137:E143" si="10">+H137*I137</f>
        <v>3465</v>
      </c>
      <c r="F137" s="276">
        <f t="shared" si="6"/>
        <v>5197500</v>
      </c>
      <c r="G137" s="357">
        <v>500</v>
      </c>
      <c r="H137" s="253">
        <v>2475</v>
      </c>
      <c r="I137" s="277">
        <v>1.4</v>
      </c>
      <c r="J137" s="277"/>
    </row>
    <row r="138" spans="1:10" ht="20.100000000000001" customHeight="1" x14ac:dyDescent="0.25">
      <c r="A138" s="61" t="s">
        <v>425</v>
      </c>
      <c r="B138" s="275" t="s">
        <v>506</v>
      </c>
      <c r="C138" s="61" t="s">
        <v>205</v>
      </c>
      <c r="D138" s="337">
        <f>9*3</f>
        <v>27</v>
      </c>
      <c r="E138" s="59">
        <f t="shared" si="10"/>
        <v>6888</v>
      </c>
      <c r="F138" s="276">
        <f t="shared" si="6"/>
        <v>185976</v>
      </c>
      <c r="G138" s="357">
        <v>9</v>
      </c>
      <c r="H138" s="253">
        <v>4920</v>
      </c>
      <c r="I138" s="277">
        <v>1.4</v>
      </c>
      <c r="J138" s="277"/>
    </row>
    <row r="139" spans="1:10" ht="20.100000000000001" customHeight="1" x14ac:dyDescent="0.25">
      <c r="A139" s="61" t="s">
        <v>426</v>
      </c>
      <c r="B139" s="275" t="s">
        <v>231</v>
      </c>
      <c r="C139" s="61" t="s">
        <v>205</v>
      </c>
      <c r="D139" s="337">
        <v>27</v>
      </c>
      <c r="E139" s="59">
        <f t="shared" si="10"/>
        <v>4900</v>
      </c>
      <c r="F139" s="276">
        <f t="shared" si="6"/>
        <v>132300</v>
      </c>
      <c r="G139" s="357">
        <v>9</v>
      </c>
      <c r="H139" s="253">
        <v>3500</v>
      </c>
      <c r="I139" s="277">
        <v>1.4</v>
      </c>
      <c r="J139" s="277"/>
    </row>
    <row r="140" spans="1:10" ht="20.100000000000001" customHeight="1" x14ac:dyDescent="0.25">
      <c r="A140" s="61" t="s">
        <v>427</v>
      </c>
      <c r="B140" s="275" t="s">
        <v>232</v>
      </c>
      <c r="C140" s="61" t="s">
        <v>203</v>
      </c>
      <c r="D140" s="337">
        <v>3</v>
      </c>
      <c r="E140" s="59">
        <f t="shared" si="10"/>
        <v>9734.1999999999989</v>
      </c>
      <c r="F140" s="276">
        <f t="shared" si="6"/>
        <v>29202.6</v>
      </c>
      <c r="G140" s="357">
        <v>1</v>
      </c>
      <c r="H140" s="253">
        <v>6953</v>
      </c>
      <c r="I140" s="277">
        <v>1.4</v>
      </c>
      <c r="J140" s="277"/>
    </row>
    <row r="141" spans="1:10" ht="20.100000000000001" customHeight="1" x14ac:dyDescent="0.25">
      <c r="A141" s="61" t="s">
        <v>428</v>
      </c>
      <c r="B141" s="275" t="s">
        <v>233</v>
      </c>
      <c r="C141" s="61" t="s">
        <v>203</v>
      </c>
      <c r="D141" s="337">
        <v>3</v>
      </c>
      <c r="E141" s="59">
        <f t="shared" si="10"/>
        <v>9734.1999999999989</v>
      </c>
      <c r="F141" s="276">
        <f t="shared" si="6"/>
        <v>29202.6</v>
      </c>
      <c r="G141" s="357">
        <v>1</v>
      </c>
      <c r="H141" s="253">
        <v>6953</v>
      </c>
      <c r="I141" s="277">
        <v>1.4</v>
      </c>
      <c r="J141" s="277"/>
    </row>
    <row r="142" spans="1:10" ht="20.100000000000001" customHeight="1" x14ac:dyDescent="0.25">
      <c r="A142" s="61" t="s">
        <v>429</v>
      </c>
      <c r="B142" s="275" t="s">
        <v>234</v>
      </c>
      <c r="C142" s="61" t="s">
        <v>203</v>
      </c>
      <c r="D142" s="337">
        <v>12</v>
      </c>
      <c r="E142" s="59">
        <f t="shared" si="10"/>
        <v>3500</v>
      </c>
      <c r="F142" s="276">
        <f t="shared" si="6"/>
        <v>42000</v>
      </c>
      <c r="G142" s="357">
        <v>1</v>
      </c>
      <c r="H142" s="253">
        <v>2500</v>
      </c>
      <c r="I142" s="277">
        <v>1.4</v>
      </c>
      <c r="J142" s="277"/>
    </row>
    <row r="143" spans="1:10" ht="20.100000000000001" customHeight="1" x14ac:dyDescent="0.25">
      <c r="A143" s="61" t="s">
        <v>430</v>
      </c>
      <c r="B143" s="275" t="s">
        <v>235</v>
      </c>
      <c r="C143" s="61" t="s">
        <v>203</v>
      </c>
      <c r="D143" s="337">
        <v>3</v>
      </c>
      <c r="E143" s="59">
        <f t="shared" si="10"/>
        <v>173250</v>
      </c>
      <c r="F143" s="276">
        <f t="shared" si="6"/>
        <v>519750</v>
      </c>
      <c r="G143" s="357">
        <v>2</v>
      </c>
      <c r="H143" s="253">
        <v>123750</v>
      </c>
      <c r="I143" s="277">
        <v>1.4</v>
      </c>
      <c r="J143" s="277"/>
    </row>
    <row r="144" spans="1:10" ht="20.100000000000001" customHeight="1" x14ac:dyDescent="0.25">
      <c r="A144" s="61" t="s">
        <v>431</v>
      </c>
      <c r="B144" s="275" t="s">
        <v>236</v>
      </c>
      <c r="C144" s="61" t="s">
        <v>203</v>
      </c>
      <c r="D144" s="337">
        <v>6</v>
      </c>
      <c r="E144" s="59">
        <f t="shared" ref="E144:E169" si="11">+H144*I144</f>
        <v>130429.59999999999</v>
      </c>
      <c r="F144" s="276">
        <f t="shared" si="6"/>
        <v>782577.6</v>
      </c>
      <c r="G144" s="357">
        <v>1</v>
      </c>
      <c r="H144" s="253">
        <v>93164</v>
      </c>
      <c r="I144" s="277">
        <v>1.4</v>
      </c>
      <c r="J144" s="277"/>
    </row>
    <row r="145" spans="1:10" ht="20.100000000000001" customHeight="1" x14ac:dyDescent="0.25">
      <c r="A145" s="61" t="s">
        <v>432</v>
      </c>
      <c r="B145" s="275" t="s">
        <v>237</v>
      </c>
      <c r="C145" s="61" t="s">
        <v>203</v>
      </c>
      <c r="D145" s="337">
        <f>6*3</f>
        <v>18</v>
      </c>
      <c r="E145" s="59">
        <f t="shared" si="11"/>
        <v>29598.799999999999</v>
      </c>
      <c r="F145" s="276">
        <f t="shared" si="6"/>
        <v>532778.4</v>
      </c>
      <c r="G145" s="357">
        <v>2</v>
      </c>
      <c r="H145" s="253">
        <v>21142</v>
      </c>
      <c r="I145" s="277">
        <v>1.4</v>
      </c>
      <c r="J145" s="277"/>
    </row>
    <row r="146" spans="1:10" ht="20.100000000000001" customHeight="1" x14ac:dyDescent="0.25">
      <c r="A146" s="61" t="s">
        <v>433</v>
      </c>
      <c r="B146" s="275" t="s">
        <v>238</v>
      </c>
      <c r="C146" s="61" t="s">
        <v>203</v>
      </c>
      <c r="D146" s="337">
        <v>6</v>
      </c>
      <c r="E146" s="59">
        <f t="shared" si="11"/>
        <v>53579.399999999994</v>
      </c>
      <c r="F146" s="276">
        <f t="shared" si="6"/>
        <v>321476.39999999997</v>
      </c>
      <c r="G146" s="357">
        <v>6</v>
      </c>
      <c r="H146" s="253">
        <v>38271</v>
      </c>
      <c r="I146" s="277">
        <v>1.4</v>
      </c>
      <c r="J146" s="277"/>
    </row>
    <row r="147" spans="1:10" ht="20.100000000000001" customHeight="1" x14ac:dyDescent="0.25">
      <c r="A147" s="61" t="s">
        <v>434</v>
      </c>
      <c r="B147" s="275" t="s">
        <v>239</v>
      </c>
      <c r="C147" s="61" t="s">
        <v>203</v>
      </c>
      <c r="D147" s="337">
        <v>6</v>
      </c>
      <c r="E147" s="59">
        <f t="shared" si="11"/>
        <v>43926.399999999994</v>
      </c>
      <c r="F147" s="276">
        <f t="shared" si="6"/>
        <v>263558.39999999997</v>
      </c>
      <c r="G147" s="357">
        <v>2</v>
      </c>
      <c r="H147" s="253">
        <v>31376</v>
      </c>
      <c r="I147" s="277">
        <v>1.4</v>
      </c>
      <c r="J147" s="277"/>
    </row>
    <row r="148" spans="1:10" ht="20.100000000000001" customHeight="1" x14ac:dyDescent="0.25">
      <c r="A148" s="61" t="s">
        <v>435</v>
      </c>
      <c r="B148" s="275" t="s">
        <v>240</v>
      </c>
      <c r="C148" s="61" t="s">
        <v>203</v>
      </c>
      <c r="D148" s="337">
        <v>6</v>
      </c>
      <c r="E148" s="59">
        <f t="shared" si="11"/>
        <v>24570</v>
      </c>
      <c r="F148" s="276">
        <f t="shared" si="6"/>
        <v>147420</v>
      </c>
      <c r="G148" s="357">
        <v>2</v>
      </c>
      <c r="H148" s="253">
        <v>17550</v>
      </c>
      <c r="I148" s="277">
        <v>1.4</v>
      </c>
      <c r="J148" s="277"/>
    </row>
    <row r="149" spans="1:10" ht="20.100000000000001" customHeight="1" x14ac:dyDescent="0.25">
      <c r="A149" s="61" t="s">
        <v>436</v>
      </c>
      <c r="B149" s="275" t="s">
        <v>363</v>
      </c>
      <c r="C149" s="61" t="s">
        <v>203</v>
      </c>
      <c r="D149" s="337">
        <v>6</v>
      </c>
      <c r="E149" s="59">
        <f t="shared" si="11"/>
        <v>160616.4</v>
      </c>
      <c r="F149" s="276">
        <f t="shared" si="6"/>
        <v>963698.39999999991</v>
      </c>
      <c r="G149" s="357">
        <v>2</v>
      </c>
      <c r="H149" s="253">
        <v>114726</v>
      </c>
      <c r="I149" s="277">
        <v>1.4</v>
      </c>
      <c r="J149" s="277"/>
    </row>
    <row r="150" spans="1:10" ht="20.100000000000001" customHeight="1" x14ac:dyDescent="0.25">
      <c r="A150" s="61" t="s">
        <v>437</v>
      </c>
      <c r="B150" s="275" t="s">
        <v>242</v>
      </c>
      <c r="C150" s="61" t="s">
        <v>205</v>
      </c>
      <c r="D150" s="337">
        <v>200</v>
      </c>
      <c r="E150" s="59">
        <f t="shared" si="11"/>
        <v>5833.7999999999993</v>
      </c>
      <c r="F150" s="276">
        <f t="shared" si="6"/>
        <v>1166759.9999999998</v>
      </c>
      <c r="G150" s="357">
        <v>2</v>
      </c>
      <c r="H150" s="253">
        <v>4167</v>
      </c>
      <c r="I150" s="277">
        <v>1.4</v>
      </c>
      <c r="J150" s="277"/>
    </row>
    <row r="151" spans="1:10" ht="20.100000000000001" customHeight="1" x14ac:dyDescent="0.25">
      <c r="A151" s="61" t="s">
        <v>438</v>
      </c>
      <c r="B151" s="275" t="s">
        <v>243</v>
      </c>
      <c r="C151" s="61" t="s">
        <v>205</v>
      </c>
      <c r="D151" s="337">
        <v>80</v>
      </c>
      <c r="E151" s="59">
        <f t="shared" si="11"/>
        <v>5833.7999999999993</v>
      </c>
      <c r="F151" s="276">
        <f t="shared" si="6"/>
        <v>466703.99999999994</v>
      </c>
      <c r="G151" s="357">
        <v>50</v>
      </c>
      <c r="H151" s="253">
        <v>4167</v>
      </c>
      <c r="I151" s="277">
        <v>1.4</v>
      </c>
      <c r="J151" s="277"/>
    </row>
    <row r="152" spans="1:10" ht="20.100000000000001" customHeight="1" x14ac:dyDescent="0.25">
      <c r="A152" s="61" t="s">
        <v>439</v>
      </c>
      <c r="B152" s="275" t="s">
        <v>244</v>
      </c>
      <c r="C152" s="61" t="s">
        <v>205</v>
      </c>
      <c r="D152" s="337">
        <v>150</v>
      </c>
      <c r="E152" s="59">
        <f t="shared" si="11"/>
        <v>4963</v>
      </c>
      <c r="F152" s="276">
        <f t="shared" ref="F152:F170" si="12">+E152*D152</f>
        <v>744450</v>
      </c>
      <c r="G152" s="357">
        <v>20</v>
      </c>
      <c r="H152" s="253">
        <v>3545</v>
      </c>
      <c r="I152" s="277">
        <v>1.4</v>
      </c>
      <c r="J152" s="277"/>
    </row>
    <row r="153" spans="1:10" ht="20.100000000000001" customHeight="1" x14ac:dyDescent="0.25">
      <c r="A153" s="61" t="s">
        <v>440</v>
      </c>
      <c r="B153" s="275" t="s">
        <v>245</v>
      </c>
      <c r="C153" s="61" t="s">
        <v>205</v>
      </c>
      <c r="D153" s="337">
        <v>100</v>
      </c>
      <c r="E153" s="59">
        <f t="shared" si="11"/>
        <v>4963</v>
      </c>
      <c r="F153" s="276">
        <f t="shared" si="12"/>
        <v>496300</v>
      </c>
      <c r="G153" s="357">
        <v>50</v>
      </c>
      <c r="H153" s="253">
        <v>3545</v>
      </c>
      <c r="I153" s="277">
        <v>1.4</v>
      </c>
      <c r="J153" s="277"/>
    </row>
    <row r="154" spans="1:10" ht="20.100000000000001" customHeight="1" x14ac:dyDescent="0.25">
      <c r="A154" s="61" t="s">
        <v>441</v>
      </c>
      <c r="B154" s="275" t="s">
        <v>246</v>
      </c>
      <c r="C154" s="61" t="s">
        <v>205</v>
      </c>
      <c r="D154" s="337">
        <v>100</v>
      </c>
      <c r="E154" s="59">
        <f t="shared" si="11"/>
        <v>743.4</v>
      </c>
      <c r="F154" s="276">
        <f t="shared" si="12"/>
        <v>74340</v>
      </c>
      <c r="G154" s="357">
        <v>15</v>
      </c>
      <c r="H154" s="253">
        <v>531</v>
      </c>
      <c r="I154" s="277">
        <v>1.4</v>
      </c>
      <c r="J154" s="277"/>
    </row>
    <row r="155" spans="1:10" ht="20.100000000000001" customHeight="1" x14ac:dyDescent="0.25">
      <c r="A155" s="61" t="s">
        <v>442</v>
      </c>
      <c r="B155" s="275" t="s">
        <v>247</v>
      </c>
      <c r="C155" s="61" t="s">
        <v>205</v>
      </c>
      <c r="D155" s="337">
        <v>100</v>
      </c>
      <c r="E155" s="59">
        <f t="shared" si="11"/>
        <v>743.4</v>
      </c>
      <c r="F155" s="276">
        <f t="shared" si="12"/>
        <v>74340</v>
      </c>
      <c r="G155" s="357">
        <v>15</v>
      </c>
      <c r="H155" s="253">
        <v>531</v>
      </c>
      <c r="I155" s="277">
        <v>1.4</v>
      </c>
      <c r="J155" s="277"/>
    </row>
    <row r="156" spans="1:10" ht="20.100000000000001" customHeight="1" x14ac:dyDescent="0.25">
      <c r="A156" s="61" t="s">
        <v>443</v>
      </c>
      <c r="B156" s="275" t="s">
        <v>248</v>
      </c>
      <c r="C156" s="61" t="s">
        <v>205</v>
      </c>
      <c r="D156" s="337">
        <v>100</v>
      </c>
      <c r="E156" s="59">
        <f t="shared" si="11"/>
        <v>2409.3999999999996</v>
      </c>
      <c r="F156" s="276">
        <f t="shared" si="12"/>
        <v>240939.99999999997</v>
      </c>
      <c r="G156" s="357">
        <v>10</v>
      </c>
      <c r="H156" s="253">
        <v>1721</v>
      </c>
      <c r="I156" s="277">
        <v>1.4</v>
      </c>
      <c r="J156" s="277"/>
    </row>
    <row r="157" spans="1:10" ht="20.100000000000001" customHeight="1" x14ac:dyDescent="0.25">
      <c r="A157" s="61" t="s">
        <v>444</v>
      </c>
      <c r="B157" s="275" t="s">
        <v>249</v>
      </c>
      <c r="C157" s="61" t="s">
        <v>203</v>
      </c>
      <c r="D157" s="337">
        <v>200</v>
      </c>
      <c r="E157" s="59">
        <f t="shared" si="11"/>
        <v>133</v>
      </c>
      <c r="F157" s="276">
        <f t="shared" si="12"/>
        <v>26600</v>
      </c>
      <c r="G157" s="357">
        <v>1</v>
      </c>
      <c r="H157" s="253">
        <v>95</v>
      </c>
      <c r="I157" s="277">
        <v>1.4</v>
      </c>
      <c r="J157" s="277"/>
    </row>
    <row r="158" spans="1:10" ht="20.100000000000001" customHeight="1" x14ac:dyDescent="0.25">
      <c r="A158" s="61" t="s">
        <v>445</v>
      </c>
      <c r="B158" s="275" t="s">
        <v>250</v>
      </c>
      <c r="C158" s="61" t="s">
        <v>203</v>
      </c>
      <c r="D158" s="337">
        <v>200</v>
      </c>
      <c r="E158" s="59">
        <f t="shared" si="11"/>
        <v>116.19999999999999</v>
      </c>
      <c r="F158" s="276">
        <f t="shared" si="12"/>
        <v>23239.999999999996</v>
      </c>
      <c r="G158" s="357">
        <v>200</v>
      </c>
      <c r="H158" s="253">
        <v>83</v>
      </c>
      <c r="I158" s="277">
        <v>1.4</v>
      </c>
      <c r="J158" s="277"/>
    </row>
    <row r="159" spans="1:10" ht="20.100000000000001" customHeight="1" x14ac:dyDescent="0.25">
      <c r="A159" s="61" t="s">
        <v>446</v>
      </c>
      <c r="B159" s="275" t="s">
        <v>251</v>
      </c>
      <c r="C159" s="61" t="s">
        <v>203</v>
      </c>
      <c r="D159" s="337">
        <v>100</v>
      </c>
      <c r="E159" s="59">
        <f t="shared" si="11"/>
        <v>62.999999999999993</v>
      </c>
      <c r="F159" s="276">
        <f t="shared" si="12"/>
        <v>6299.9999999999991</v>
      </c>
      <c r="G159" s="357">
        <v>200</v>
      </c>
      <c r="H159" s="253">
        <v>45</v>
      </c>
      <c r="I159" s="277">
        <v>1.4</v>
      </c>
      <c r="J159" s="277"/>
    </row>
    <row r="160" spans="1:10" ht="20.100000000000001" customHeight="1" x14ac:dyDescent="0.25">
      <c r="A160" s="61" t="s">
        <v>447</v>
      </c>
      <c r="B160" s="275" t="s">
        <v>252</v>
      </c>
      <c r="C160" s="61" t="s">
        <v>203</v>
      </c>
      <c r="D160" s="337">
        <v>100</v>
      </c>
      <c r="E160" s="59">
        <f t="shared" si="11"/>
        <v>53.199999999999996</v>
      </c>
      <c r="F160" s="276">
        <f t="shared" si="12"/>
        <v>5320</v>
      </c>
      <c r="G160" s="357">
        <v>25</v>
      </c>
      <c r="H160" s="253">
        <v>38</v>
      </c>
      <c r="I160" s="277">
        <v>1.4</v>
      </c>
      <c r="J160" s="277"/>
    </row>
    <row r="161" spans="1:10" ht="20.100000000000001" customHeight="1" x14ac:dyDescent="0.25">
      <c r="A161" s="61" t="s">
        <v>448</v>
      </c>
      <c r="B161" s="275" t="s">
        <v>253</v>
      </c>
      <c r="C161" s="61" t="s">
        <v>203</v>
      </c>
      <c r="D161" s="337">
        <v>10</v>
      </c>
      <c r="E161" s="59">
        <f t="shared" si="11"/>
        <v>15839.599999999999</v>
      </c>
      <c r="F161" s="276">
        <f t="shared" si="12"/>
        <v>158396</v>
      </c>
      <c r="G161" s="357">
        <v>100</v>
      </c>
      <c r="H161" s="253">
        <v>11314</v>
      </c>
      <c r="I161" s="277">
        <v>1.4</v>
      </c>
      <c r="J161" s="277"/>
    </row>
    <row r="162" spans="1:10" ht="20.100000000000001" customHeight="1" x14ac:dyDescent="0.25">
      <c r="A162" s="61" t="s">
        <v>449</v>
      </c>
      <c r="B162" s="275" t="s">
        <v>254</v>
      </c>
      <c r="C162" s="61" t="s">
        <v>203</v>
      </c>
      <c r="D162" s="337">
        <v>100</v>
      </c>
      <c r="E162" s="59">
        <f t="shared" si="11"/>
        <v>3465</v>
      </c>
      <c r="F162" s="276">
        <f t="shared" si="12"/>
        <v>346500</v>
      </c>
      <c r="G162" s="357">
        <v>10</v>
      </c>
      <c r="H162" s="253">
        <v>2475</v>
      </c>
      <c r="I162" s="277">
        <v>1.4</v>
      </c>
      <c r="J162" s="277"/>
    </row>
    <row r="163" spans="1:10" ht="20.100000000000001" customHeight="1" x14ac:dyDescent="0.25">
      <c r="A163" s="61" t="s">
        <v>450</v>
      </c>
      <c r="B163" s="275" t="s">
        <v>255</v>
      </c>
      <c r="C163" s="61" t="s">
        <v>203</v>
      </c>
      <c r="D163" s="337">
        <v>3</v>
      </c>
      <c r="E163" s="59">
        <f t="shared" si="11"/>
        <v>27300</v>
      </c>
      <c r="F163" s="276">
        <f t="shared" si="12"/>
        <v>81900</v>
      </c>
      <c r="G163" s="357">
        <v>35</v>
      </c>
      <c r="H163" s="253">
        <v>19500</v>
      </c>
      <c r="I163" s="277">
        <v>1.4</v>
      </c>
      <c r="J163" s="277"/>
    </row>
    <row r="164" spans="1:10" ht="20.100000000000001" customHeight="1" x14ac:dyDescent="0.25">
      <c r="A164" s="61" t="s">
        <v>451</v>
      </c>
      <c r="B164" s="275" t="s">
        <v>256</v>
      </c>
      <c r="C164" s="61" t="s">
        <v>257</v>
      </c>
      <c r="D164" s="337">
        <v>2</v>
      </c>
      <c r="E164" s="59">
        <f t="shared" si="11"/>
        <v>9310</v>
      </c>
      <c r="F164" s="276">
        <f t="shared" si="12"/>
        <v>18620</v>
      </c>
      <c r="G164" s="357">
        <v>1</v>
      </c>
      <c r="H164" s="253">
        <v>6650</v>
      </c>
      <c r="I164" s="277">
        <v>1.4</v>
      </c>
      <c r="J164" s="277"/>
    </row>
    <row r="165" spans="1:10" ht="20.100000000000001" customHeight="1" x14ac:dyDescent="0.25">
      <c r="A165" s="61" t="s">
        <v>452</v>
      </c>
      <c r="B165" s="275" t="s">
        <v>272</v>
      </c>
      <c r="C165" s="61" t="s">
        <v>257</v>
      </c>
      <c r="D165" s="337">
        <v>15</v>
      </c>
      <c r="E165" s="59">
        <f t="shared" si="11"/>
        <v>19600</v>
      </c>
      <c r="F165" s="276">
        <f t="shared" si="12"/>
        <v>294000</v>
      </c>
      <c r="G165" s="357">
        <v>2</v>
      </c>
      <c r="H165" s="253">
        <v>14000</v>
      </c>
      <c r="I165" s="277">
        <v>1.4</v>
      </c>
      <c r="J165" s="277"/>
    </row>
    <row r="166" spans="1:10" ht="20.100000000000001" customHeight="1" x14ac:dyDescent="0.25">
      <c r="A166" s="61" t="s">
        <v>453</v>
      </c>
      <c r="B166" s="275" t="s">
        <v>258</v>
      </c>
      <c r="C166" s="61" t="s">
        <v>257</v>
      </c>
      <c r="D166" s="337">
        <v>6</v>
      </c>
      <c r="E166" s="59">
        <f t="shared" si="11"/>
        <v>4844</v>
      </c>
      <c r="F166" s="276">
        <f t="shared" si="12"/>
        <v>29064</v>
      </c>
      <c r="G166" s="357">
        <v>2</v>
      </c>
      <c r="H166" s="253">
        <v>3460</v>
      </c>
      <c r="I166" s="277">
        <v>1.4</v>
      </c>
      <c r="J166" s="277"/>
    </row>
    <row r="167" spans="1:10" ht="20.100000000000001" customHeight="1" x14ac:dyDescent="0.25">
      <c r="A167" s="61" t="s">
        <v>454</v>
      </c>
      <c r="B167" s="275" t="s">
        <v>455</v>
      </c>
      <c r="C167" s="61" t="s">
        <v>204</v>
      </c>
      <c r="D167" s="337">
        <v>245</v>
      </c>
      <c r="E167" s="59">
        <f t="shared" si="11"/>
        <v>21000</v>
      </c>
      <c r="F167" s="276">
        <f t="shared" si="12"/>
        <v>5145000</v>
      </c>
      <c r="G167" s="357">
        <v>100</v>
      </c>
      <c r="H167" s="253">
        <v>15000</v>
      </c>
      <c r="I167" s="277">
        <v>1.4</v>
      </c>
      <c r="J167" s="277"/>
    </row>
    <row r="168" spans="1:10" ht="20.100000000000001" customHeight="1" x14ac:dyDescent="0.25">
      <c r="A168" s="61" t="s">
        <v>456</v>
      </c>
      <c r="B168" s="275" t="s">
        <v>260</v>
      </c>
      <c r="C168" s="61" t="s">
        <v>204</v>
      </c>
      <c r="D168" s="337">
        <v>1</v>
      </c>
      <c r="E168" s="59">
        <v>350000</v>
      </c>
      <c r="F168" s="276">
        <f t="shared" si="12"/>
        <v>350000</v>
      </c>
      <c r="G168" s="357">
        <v>1</v>
      </c>
      <c r="H168" s="253">
        <v>150000</v>
      </c>
      <c r="I168" s="277">
        <v>1.4</v>
      </c>
      <c r="J168" s="277"/>
    </row>
    <row r="169" spans="1:10" ht="15" customHeight="1" x14ac:dyDescent="0.25">
      <c r="A169" s="61"/>
      <c r="B169" s="275"/>
      <c r="C169" s="61"/>
      <c r="D169" s="337"/>
      <c r="E169" s="59">
        <f t="shared" si="11"/>
        <v>0</v>
      </c>
      <c r="F169" s="278"/>
      <c r="G169" s="358"/>
      <c r="I169" s="277"/>
      <c r="J169" s="277"/>
    </row>
    <row r="170" spans="1:10" ht="20.100000000000001" customHeight="1" x14ac:dyDescent="0.25">
      <c r="A170" s="280"/>
      <c r="B170" s="281" t="s">
        <v>457</v>
      </c>
      <c r="C170" s="282" t="s">
        <v>458</v>
      </c>
      <c r="D170" s="338">
        <v>1</v>
      </c>
      <c r="E170" s="59">
        <f>215305638.2+J170</f>
        <v>272276850.19999999</v>
      </c>
      <c r="F170" s="276">
        <f t="shared" si="12"/>
        <v>272276850.19999999</v>
      </c>
      <c r="G170" s="357"/>
      <c r="H170" s="260">
        <v>47476010</v>
      </c>
      <c r="I170" s="277">
        <v>1.2</v>
      </c>
      <c r="J170" s="285">
        <f>+H170*I170</f>
        <v>56971212</v>
      </c>
    </row>
    <row r="171" spans="1:10" s="352" customFormat="1" ht="20.100000000000001" customHeight="1" x14ac:dyDescent="0.25">
      <c r="A171" s="344"/>
      <c r="B171" s="345" t="s">
        <v>459</v>
      </c>
      <c r="C171" s="346"/>
      <c r="D171" s="347"/>
      <c r="E171" s="348"/>
      <c r="F171" s="348"/>
      <c r="G171" s="360"/>
      <c r="H171" s="349"/>
      <c r="I171" s="350"/>
      <c r="J171" s="351"/>
    </row>
    <row r="172" spans="1:10" s="352" customFormat="1" ht="20.100000000000001" customHeight="1" x14ac:dyDescent="0.25">
      <c r="A172" s="344"/>
      <c r="B172" s="345" t="s">
        <v>460</v>
      </c>
      <c r="C172" s="346"/>
      <c r="D172" s="347"/>
      <c r="E172" s="348"/>
      <c r="F172" s="348"/>
      <c r="G172" s="360"/>
      <c r="H172" s="349"/>
      <c r="I172" s="350"/>
      <c r="J172" s="351"/>
    </row>
    <row r="173" spans="1:10" s="352" customFormat="1" ht="20.100000000000001" customHeight="1" x14ac:dyDescent="0.25">
      <c r="A173" s="344"/>
      <c r="B173" s="345" t="s">
        <v>461</v>
      </c>
      <c r="C173" s="346"/>
      <c r="D173" s="347"/>
      <c r="E173" s="348"/>
      <c r="F173" s="348"/>
      <c r="G173" s="360"/>
      <c r="H173" s="349"/>
      <c r="I173" s="350"/>
      <c r="J173" s="351"/>
    </row>
    <row r="174" spans="1:10" s="352" customFormat="1" ht="20.100000000000001" customHeight="1" x14ac:dyDescent="0.25">
      <c r="A174" s="344"/>
      <c r="B174" s="345" t="s">
        <v>462</v>
      </c>
      <c r="C174" s="346"/>
      <c r="D174" s="347"/>
      <c r="E174" s="348"/>
      <c r="F174" s="348"/>
      <c r="G174" s="360"/>
      <c r="H174" s="349"/>
      <c r="I174" s="350"/>
      <c r="J174" s="351"/>
    </row>
    <row r="175" spans="1:10" s="352" customFormat="1" ht="20.100000000000001" customHeight="1" x14ac:dyDescent="0.25">
      <c r="A175" s="344"/>
      <c r="B175" s="345" t="s">
        <v>463</v>
      </c>
      <c r="C175" s="346"/>
      <c r="D175" s="347"/>
      <c r="E175" s="348"/>
      <c r="F175" s="348"/>
      <c r="G175" s="360"/>
      <c r="H175" s="349"/>
      <c r="I175" s="350"/>
      <c r="J175" s="351"/>
    </row>
    <row r="176" spans="1:10" s="352" customFormat="1" ht="20.100000000000001" customHeight="1" x14ac:dyDescent="0.25">
      <c r="A176" s="344"/>
      <c r="B176" s="345" t="s">
        <v>464</v>
      </c>
      <c r="C176" s="346"/>
      <c r="D176" s="347"/>
      <c r="E176" s="348"/>
      <c r="F176" s="348"/>
      <c r="G176" s="360"/>
      <c r="H176" s="349"/>
      <c r="I176" s="350"/>
      <c r="J176" s="351"/>
    </row>
    <row r="177" spans="1:10" s="352" customFormat="1" ht="20.100000000000001" customHeight="1" x14ac:dyDescent="0.25">
      <c r="A177" s="344"/>
      <c r="B177" s="345" t="s">
        <v>465</v>
      </c>
      <c r="C177" s="346"/>
      <c r="D177" s="347"/>
      <c r="E177" s="348"/>
      <c r="F177" s="348"/>
      <c r="G177" s="360"/>
      <c r="H177" s="349"/>
      <c r="I177" s="350"/>
      <c r="J177" s="351"/>
    </row>
    <row r="178" spans="1:10" s="352" customFormat="1" ht="20.100000000000001" customHeight="1" x14ac:dyDescent="0.25">
      <c r="A178" s="344"/>
      <c r="B178" s="345" t="s">
        <v>466</v>
      </c>
      <c r="C178" s="346"/>
      <c r="D178" s="347"/>
      <c r="E178" s="348"/>
      <c r="F178" s="348"/>
      <c r="G178" s="360"/>
      <c r="H178" s="349"/>
      <c r="I178" s="350"/>
      <c r="J178" s="351"/>
    </row>
    <row r="179" spans="1:10" s="352" customFormat="1" ht="20.100000000000001" customHeight="1" x14ac:dyDescent="0.25">
      <c r="A179" s="344"/>
      <c r="B179" s="345" t="s">
        <v>467</v>
      </c>
      <c r="C179" s="346"/>
      <c r="D179" s="347"/>
      <c r="E179" s="348"/>
      <c r="F179" s="348"/>
      <c r="G179" s="360"/>
      <c r="H179" s="349"/>
      <c r="I179" s="350"/>
      <c r="J179" s="351"/>
    </row>
    <row r="180" spans="1:10" s="352" customFormat="1" ht="20.100000000000001" customHeight="1" x14ac:dyDescent="0.25">
      <c r="A180" s="344"/>
      <c r="B180" s="345" t="s">
        <v>468</v>
      </c>
      <c r="C180" s="346"/>
      <c r="D180" s="347"/>
      <c r="E180" s="348"/>
      <c r="F180" s="348"/>
      <c r="G180" s="360"/>
      <c r="H180" s="349"/>
      <c r="I180" s="350"/>
      <c r="J180" s="351"/>
    </row>
    <row r="181" spans="1:10" s="352" customFormat="1" ht="20.100000000000001" customHeight="1" x14ac:dyDescent="0.25">
      <c r="A181" s="344"/>
      <c r="B181" s="345"/>
      <c r="C181" s="346"/>
      <c r="D181" s="347"/>
      <c r="E181" s="348"/>
      <c r="F181" s="348"/>
      <c r="G181" s="360"/>
      <c r="H181" s="349"/>
      <c r="I181" s="350"/>
      <c r="J181" s="351"/>
    </row>
    <row r="182" spans="1:10" ht="20.100000000000001" customHeight="1" x14ac:dyDescent="0.25">
      <c r="A182" s="280"/>
      <c r="B182" s="281" t="s">
        <v>469</v>
      </c>
      <c r="C182" s="282"/>
      <c r="D182" s="338"/>
      <c r="E182" s="284"/>
      <c r="F182" s="284"/>
      <c r="G182" s="361"/>
      <c r="H182" s="260"/>
      <c r="I182" s="277"/>
      <c r="J182" s="285"/>
    </row>
    <row r="183" spans="1:10" ht="20.100000000000001" customHeight="1" x14ac:dyDescent="0.25">
      <c r="A183" s="280"/>
      <c r="B183" s="295" t="s">
        <v>470</v>
      </c>
      <c r="C183" s="296"/>
      <c r="D183" s="340"/>
      <c r="E183" s="284"/>
      <c r="F183" s="284"/>
      <c r="G183" s="361"/>
      <c r="H183" s="260"/>
      <c r="I183" s="277"/>
      <c r="J183" s="285"/>
    </row>
    <row r="184" spans="1:10" s="306" customFormat="1" ht="20.100000000000001" customHeight="1" x14ac:dyDescent="0.25">
      <c r="A184" s="298"/>
      <c r="B184" s="299" t="s">
        <v>471</v>
      </c>
      <c r="C184" s="300" t="s">
        <v>472</v>
      </c>
      <c r="D184" s="341">
        <v>120</v>
      </c>
      <c r="E184" s="302"/>
      <c r="F184" s="302"/>
      <c r="G184" s="362"/>
      <c r="H184" s="303"/>
      <c r="I184" s="304"/>
      <c r="J184" s="305"/>
    </row>
    <row r="185" spans="1:10" ht="20.100000000000001" customHeight="1" x14ac:dyDescent="0.25">
      <c r="A185" s="280"/>
      <c r="B185" s="307" t="s">
        <v>473</v>
      </c>
      <c r="C185" s="296"/>
      <c r="D185" s="340"/>
      <c r="E185" s="284"/>
      <c r="F185" s="284"/>
      <c r="G185" s="361"/>
      <c r="H185" s="260"/>
      <c r="I185" s="277"/>
      <c r="J185" s="285"/>
    </row>
    <row r="186" spans="1:10" ht="20.100000000000001" customHeight="1" x14ac:dyDescent="0.25">
      <c r="A186" s="308"/>
      <c r="B186" s="309"/>
      <c r="C186" s="296"/>
      <c r="D186" s="342"/>
      <c r="E186" s="311"/>
      <c r="F186" s="284"/>
      <c r="G186" s="361"/>
      <c r="H186" s="260"/>
      <c r="I186" s="277"/>
      <c r="J186" s="285"/>
    </row>
    <row r="187" spans="1:10" ht="20.100000000000001" customHeight="1" x14ac:dyDescent="0.25">
      <c r="A187" s="200"/>
      <c r="B187" s="312"/>
      <c r="C187" s="313"/>
      <c r="D187" s="339"/>
      <c r="E187" s="315"/>
      <c r="F187" s="316"/>
      <c r="G187" s="363"/>
    </row>
    <row r="188" spans="1:10" ht="20.100000000000001" customHeight="1" x14ac:dyDescent="0.25">
      <c r="A188" s="317"/>
      <c r="B188" s="318"/>
      <c r="C188" s="319"/>
      <c r="D188" s="343"/>
      <c r="E188" s="321"/>
      <c r="F188" s="322"/>
      <c r="G188" s="363">
        <v>782908861.79999995</v>
      </c>
      <c r="H188" s="323"/>
    </row>
    <row r="189" spans="1:10" s="100" customFormat="1" ht="20.100000000000001" customHeight="1" x14ac:dyDescent="0.25">
      <c r="A189" s="453" t="s">
        <v>474</v>
      </c>
      <c r="B189" s="453"/>
      <c r="C189" s="453"/>
      <c r="D189" s="453"/>
      <c r="E189" s="453"/>
      <c r="F189" s="324">
        <f>SUM(F14:F187)</f>
        <v>998214500</v>
      </c>
      <c r="G189" s="365">
        <f>+H170/F189</f>
        <v>4.7560930040587472E-2</v>
      </c>
      <c r="H189" s="260"/>
    </row>
    <row r="190" spans="1:10" s="100" customFormat="1" ht="20.100000000000001" customHeight="1" x14ac:dyDescent="0.25">
      <c r="A190" s="453" t="s">
        <v>475</v>
      </c>
      <c r="B190" s="453"/>
      <c r="C190" s="453"/>
      <c r="D190" s="453"/>
      <c r="E190" s="453"/>
      <c r="F190" s="325">
        <f>+F189*0.18</f>
        <v>179678610</v>
      </c>
      <c r="G190" s="366">
        <f>+E170/G188</f>
        <v>0.34777592065314389</v>
      </c>
      <c r="H190" s="260"/>
    </row>
    <row r="191" spans="1:10" s="100" customFormat="1" ht="20.100000000000001" customHeight="1" x14ac:dyDescent="0.25">
      <c r="A191" s="453" t="s">
        <v>476</v>
      </c>
      <c r="B191" s="453"/>
      <c r="C191" s="453"/>
      <c r="D191" s="453"/>
      <c r="E191" s="453"/>
      <c r="F191" s="324">
        <f>SUM(F189:F190)</f>
        <v>1177893110</v>
      </c>
      <c r="G191" s="364">
        <f>+G188*0.1</f>
        <v>78290886.179999992</v>
      </c>
      <c r="H191" s="260"/>
    </row>
    <row r="192" spans="1:10" s="100" customFormat="1" x14ac:dyDescent="0.25">
      <c r="D192" s="161"/>
      <c r="E192" s="260"/>
      <c r="F192" s="264"/>
      <c r="G192" s="264"/>
      <c r="H192" s="260"/>
    </row>
    <row r="193" spans="1:8" s="100" customFormat="1" x14ac:dyDescent="0.25">
      <c r="A193" s="326" t="s">
        <v>477</v>
      </c>
      <c r="D193" s="161"/>
      <c r="E193" s="260"/>
      <c r="F193" s="264"/>
      <c r="G193" s="264">
        <f>+G191+F189-E170</f>
        <v>804228535.98000002</v>
      </c>
      <c r="H193" s="260"/>
    </row>
    <row r="194" spans="1:8" s="100" customFormat="1" x14ac:dyDescent="0.25">
      <c r="D194" s="161"/>
      <c r="E194" s="260"/>
      <c r="F194" s="264">
        <v>998214500</v>
      </c>
      <c r="G194" s="264">
        <f>+G193*1.18</f>
        <v>948989672.45639992</v>
      </c>
      <c r="H194" s="260"/>
    </row>
    <row r="195" spans="1:8" s="100" customFormat="1" x14ac:dyDescent="0.25">
      <c r="D195" s="161"/>
      <c r="E195" s="260"/>
      <c r="F195" s="264">
        <f>+F194-F189</f>
        <v>0</v>
      </c>
      <c r="G195" s="264"/>
      <c r="H195" s="260"/>
    </row>
    <row r="196" spans="1:8" s="100" customFormat="1" x14ac:dyDescent="0.25">
      <c r="D196" s="161"/>
      <c r="E196" s="260"/>
      <c r="F196" s="264"/>
      <c r="G196" s="264"/>
      <c r="H196" s="260"/>
    </row>
    <row r="197" spans="1:8" s="100" customFormat="1" x14ac:dyDescent="0.25">
      <c r="A197" s="327" t="s">
        <v>478</v>
      </c>
      <c r="D197" s="161"/>
      <c r="E197" s="260"/>
      <c r="F197" s="264"/>
      <c r="G197" s="264"/>
      <c r="H197" s="260"/>
    </row>
    <row r="198" spans="1:8" s="100" customFormat="1" x14ac:dyDescent="0.25">
      <c r="D198" s="161"/>
      <c r="E198" s="260"/>
      <c r="F198" s="264"/>
      <c r="G198" s="264"/>
      <c r="H198" s="260"/>
    </row>
  </sheetData>
  <mergeCells count="3">
    <mergeCell ref="A189:E189"/>
    <mergeCell ref="A190:E190"/>
    <mergeCell ref="A191:E19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2A14B-3220-4E36-A07D-0355F1BC1CAE}">
  <dimension ref="A1:M227"/>
  <sheetViews>
    <sheetView topLeftCell="A183" zoomScaleNormal="100" zoomScaleSheetLayoutView="140" workbookViewId="0">
      <selection activeCell="F209" sqref="F209"/>
    </sheetView>
  </sheetViews>
  <sheetFormatPr baseColWidth="10" defaultColWidth="9.140625" defaultRowHeight="15.75" x14ac:dyDescent="0.25"/>
  <cols>
    <col min="1" max="1" width="8.42578125" style="328" customWidth="1"/>
    <col min="2" max="2" width="58.85546875" style="254" customWidth="1"/>
    <col min="3" max="3" width="7.85546875" style="254" customWidth="1"/>
    <col min="4" max="4" width="13.28515625" style="285" customWidth="1"/>
    <col min="5" max="5" width="14.140625" style="253" customWidth="1"/>
    <col min="6" max="7" width="16.42578125" style="329" customWidth="1"/>
    <col min="8" max="8" width="14.5703125" style="253" bestFit="1" customWidth="1"/>
    <col min="9" max="9" width="9.140625" style="254"/>
    <col min="10" max="10" width="5.85546875" style="368" customWidth="1"/>
    <col min="11" max="11" width="15.140625" style="329" customWidth="1"/>
    <col min="12" max="258" width="9.140625" style="254"/>
    <col min="259" max="259" width="8.42578125" style="254" customWidth="1"/>
    <col min="260" max="260" width="54.7109375" style="254" customWidth="1"/>
    <col min="261" max="261" width="7.85546875" style="254" customWidth="1"/>
    <col min="262" max="262" width="10" style="254" customWidth="1"/>
    <col min="263" max="263" width="20.5703125" style="254" customWidth="1"/>
    <col min="264" max="264" width="15.7109375" style="254" bestFit="1" customWidth="1"/>
    <col min="265" max="265" width="14.5703125" style="254" bestFit="1" customWidth="1"/>
    <col min="266" max="514" width="9.140625" style="254"/>
    <col min="515" max="515" width="8.42578125" style="254" customWidth="1"/>
    <col min="516" max="516" width="54.7109375" style="254" customWidth="1"/>
    <col min="517" max="517" width="7.85546875" style="254" customWidth="1"/>
    <col min="518" max="518" width="10" style="254" customWidth="1"/>
    <col min="519" max="519" width="20.5703125" style="254" customWidth="1"/>
    <col min="520" max="520" width="15.7109375" style="254" bestFit="1" customWidth="1"/>
    <col min="521" max="521" width="14.5703125" style="254" bestFit="1" customWidth="1"/>
    <col min="522" max="770" width="9.140625" style="254"/>
    <col min="771" max="771" width="8.42578125" style="254" customWidth="1"/>
    <col min="772" max="772" width="54.7109375" style="254" customWidth="1"/>
    <col min="773" max="773" width="7.85546875" style="254" customWidth="1"/>
    <col min="774" max="774" width="10" style="254" customWidth="1"/>
    <col min="775" max="775" width="20.5703125" style="254" customWidth="1"/>
    <col min="776" max="776" width="15.7109375" style="254" bestFit="1" customWidth="1"/>
    <col min="777" max="777" width="14.5703125" style="254" bestFit="1" customWidth="1"/>
    <col min="778" max="1026" width="9.140625" style="254"/>
    <col min="1027" max="1027" width="8.42578125" style="254" customWidth="1"/>
    <col min="1028" max="1028" width="54.7109375" style="254" customWidth="1"/>
    <col min="1029" max="1029" width="7.85546875" style="254" customWidth="1"/>
    <col min="1030" max="1030" width="10" style="254" customWidth="1"/>
    <col min="1031" max="1031" width="20.5703125" style="254" customWidth="1"/>
    <col min="1032" max="1032" width="15.7109375" style="254" bestFit="1" customWidth="1"/>
    <col min="1033" max="1033" width="14.5703125" style="254" bestFit="1" customWidth="1"/>
    <col min="1034" max="1282" width="9.140625" style="254"/>
    <col min="1283" max="1283" width="8.42578125" style="254" customWidth="1"/>
    <col min="1284" max="1284" width="54.7109375" style="254" customWidth="1"/>
    <col min="1285" max="1285" width="7.85546875" style="254" customWidth="1"/>
    <col min="1286" max="1286" width="10" style="254" customWidth="1"/>
    <col min="1287" max="1287" width="20.5703125" style="254" customWidth="1"/>
    <col min="1288" max="1288" width="15.7109375" style="254" bestFit="1" customWidth="1"/>
    <col min="1289" max="1289" width="14.5703125" style="254" bestFit="1" customWidth="1"/>
    <col min="1290" max="1538" width="9.140625" style="254"/>
    <col min="1539" max="1539" width="8.42578125" style="254" customWidth="1"/>
    <col min="1540" max="1540" width="54.7109375" style="254" customWidth="1"/>
    <col min="1541" max="1541" width="7.85546875" style="254" customWidth="1"/>
    <col min="1542" max="1542" width="10" style="254" customWidth="1"/>
    <col min="1543" max="1543" width="20.5703125" style="254" customWidth="1"/>
    <col min="1544" max="1544" width="15.7109375" style="254" bestFit="1" customWidth="1"/>
    <col min="1545" max="1545" width="14.5703125" style="254" bestFit="1" customWidth="1"/>
    <col min="1546" max="1794" width="9.140625" style="254"/>
    <col min="1795" max="1795" width="8.42578125" style="254" customWidth="1"/>
    <col min="1796" max="1796" width="54.7109375" style="254" customWidth="1"/>
    <col min="1797" max="1797" width="7.85546875" style="254" customWidth="1"/>
    <col min="1798" max="1798" width="10" style="254" customWidth="1"/>
    <col min="1799" max="1799" width="20.5703125" style="254" customWidth="1"/>
    <col min="1800" max="1800" width="15.7109375" style="254" bestFit="1" customWidth="1"/>
    <col min="1801" max="1801" width="14.5703125" style="254" bestFit="1" customWidth="1"/>
    <col min="1802" max="2050" width="9.140625" style="254"/>
    <col min="2051" max="2051" width="8.42578125" style="254" customWidth="1"/>
    <col min="2052" max="2052" width="54.7109375" style="254" customWidth="1"/>
    <col min="2053" max="2053" width="7.85546875" style="254" customWidth="1"/>
    <col min="2054" max="2054" width="10" style="254" customWidth="1"/>
    <col min="2055" max="2055" width="20.5703125" style="254" customWidth="1"/>
    <col min="2056" max="2056" width="15.7109375" style="254" bestFit="1" customWidth="1"/>
    <col min="2057" max="2057" width="14.5703125" style="254" bestFit="1" customWidth="1"/>
    <col min="2058" max="2306" width="9.140625" style="254"/>
    <col min="2307" max="2307" width="8.42578125" style="254" customWidth="1"/>
    <col min="2308" max="2308" width="54.7109375" style="254" customWidth="1"/>
    <col min="2309" max="2309" width="7.85546875" style="254" customWidth="1"/>
    <col min="2310" max="2310" width="10" style="254" customWidth="1"/>
    <col min="2311" max="2311" width="20.5703125" style="254" customWidth="1"/>
    <col min="2312" max="2312" width="15.7109375" style="254" bestFit="1" customWidth="1"/>
    <col min="2313" max="2313" width="14.5703125" style="254" bestFit="1" customWidth="1"/>
    <col min="2314" max="2562" width="9.140625" style="254"/>
    <col min="2563" max="2563" width="8.42578125" style="254" customWidth="1"/>
    <col min="2564" max="2564" width="54.7109375" style="254" customWidth="1"/>
    <col min="2565" max="2565" width="7.85546875" style="254" customWidth="1"/>
    <col min="2566" max="2566" width="10" style="254" customWidth="1"/>
    <col min="2567" max="2567" width="20.5703125" style="254" customWidth="1"/>
    <col min="2568" max="2568" width="15.7109375" style="254" bestFit="1" customWidth="1"/>
    <col min="2569" max="2569" width="14.5703125" style="254" bestFit="1" customWidth="1"/>
    <col min="2570" max="2818" width="9.140625" style="254"/>
    <col min="2819" max="2819" width="8.42578125" style="254" customWidth="1"/>
    <col min="2820" max="2820" width="54.7109375" style="254" customWidth="1"/>
    <col min="2821" max="2821" width="7.85546875" style="254" customWidth="1"/>
    <col min="2822" max="2822" width="10" style="254" customWidth="1"/>
    <col min="2823" max="2823" width="20.5703125" style="254" customWidth="1"/>
    <col min="2824" max="2824" width="15.7109375" style="254" bestFit="1" customWidth="1"/>
    <col min="2825" max="2825" width="14.5703125" style="254" bestFit="1" customWidth="1"/>
    <col min="2826" max="3074" width="9.140625" style="254"/>
    <col min="3075" max="3075" width="8.42578125" style="254" customWidth="1"/>
    <col min="3076" max="3076" width="54.7109375" style="254" customWidth="1"/>
    <col min="3077" max="3077" width="7.85546875" style="254" customWidth="1"/>
    <col min="3078" max="3078" width="10" style="254" customWidth="1"/>
    <col min="3079" max="3079" width="20.5703125" style="254" customWidth="1"/>
    <col min="3080" max="3080" width="15.7109375" style="254" bestFit="1" customWidth="1"/>
    <col min="3081" max="3081" width="14.5703125" style="254" bestFit="1" customWidth="1"/>
    <col min="3082" max="3330" width="9.140625" style="254"/>
    <col min="3331" max="3331" width="8.42578125" style="254" customWidth="1"/>
    <col min="3332" max="3332" width="54.7109375" style="254" customWidth="1"/>
    <col min="3333" max="3333" width="7.85546875" style="254" customWidth="1"/>
    <col min="3334" max="3334" width="10" style="254" customWidth="1"/>
    <col min="3335" max="3335" width="20.5703125" style="254" customWidth="1"/>
    <col min="3336" max="3336" width="15.7109375" style="254" bestFit="1" customWidth="1"/>
    <col min="3337" max="3337" width="14.5703125" style="254" bestFit="1" customWidth="1"/>
    <col min="3338" max="3586" width="9.140625" style="254"/>
    <col min="3587" max="3587" width="8.42578125" style="254" customWidth="1"/>
    <col min="3588" max="3588" width="54.7109375" style="254" customWidth="1"/>
    <col min="3589" max="3589" width="7.85546875" style="254" customWidth="1"/>
    <col min="3590" max="3590" width="10" style="254" customWidth="1"/>
    <col min="3591" max="3591" width="20.5703125" style="254" customWidth="1"/>
    <col min="3592" max="3592" width="15.7109375" style="254" bestFit="1" customWidth="1"/>
    <col min="3593" max="3593" width="14.5703125" style="254" bestFit="1" customWidth="1"/>
    <col min="3594" max="3842" width="9.140625" style="254"/>
    <col min="3843" max="3843" width="8.42578125" style="254" customWidth="1"/>
    <col min="3844" max="3844" width="54.7109375" style="254" customWidth="1"/>
    <col min="3845" max="3845" width="7.85546875" style="254" customWidth="1"/>
    <col min="3846" max="3846" width="10" style="254" customWidth="1"/>
    <col min="3847" max="3847" width="20.5703125" style="254" customWidth="1"/>
    <col min="3848" max="3848" width="15.7109375" style="254" bestFit="1" customWidth="1"/>
    <col min="3849" max="3849" width="14.5703125" style="254" bestFit="1" customWidth="1"/>
    <col min="3850" max="4098" width="9.140625" style="254"/>
    <col min="4099" max="4099" width="8.42578125" style="254" customWidth="1"/>
    <col min="4100" max="4100" width="54.7109375" style="254" customWidth="1"/>
    <col min="4101" max="4101" width="7.85546875" style="254" customWidth="1"/>
    <col min="4102" max="4102" width="10" style="254" customWidth="1"/>
    <col min="4103" max="4103" width="20.5703125" style="254" customWidth="1"/>
    <col min="4104" max="4104" width="15.7109375" style="254" bestFit="1" customWidth="1"/>
    <col min="4105" max="4105" width="14.5703125" style="254" bestFit="1" customWidth="1"/>
    <col min="4106" max="4354" width="9.140625" style="254"/>
    <col min="4355" max="4355" width="8.42578125" style="254" customWidth="1"/>
    <col min="4356" max="4356" width="54.7109375" style="254" customWidth="1"/>
    <col min="4357" max="4357" width="7.85546875" style="254" customWidth="1"/>
    <col min="4358" max="4358" width="10" style="254" customWidth="1"/>
    <col min="4359" max="4359" width="20.5703125" style="254" customWidth="1"/>
    <col min="4360" max="4360" width="15.7109375" style="254" bestFit="1" customWidth="1"/>
    <col min="4361" max="4361" width="14.5703125" style="254" bestFit="1" customWidth="1"/>
    <col min="4362" max="4610" width="9.140625" style="254"/>
    <col min="4611" max="4611" width="8.42578125" style="254" customWidth="1"/>
    <col min="4612" max="4612" width="54.7109375" style="254" customWidth="1"/>
    <col min="4613" max="4613" width="7.85546875" style="254" customWidth="1"/>
    <col min="4614" max="4614" width="10" style="254" customWidth="1"/>
    <col min="4615" max="4615" width="20.5703125" style="254" customWidth="1"/>
    <col min="4616" max="4616" width="15.7109375" style="254" bestFit="1" customWidth="1"/>
    <col min="4617" max="4617" width="14.5703125" style="254" bestFit="1" customWidth="1"/>
    <col min="4618" max="4866" width="9.140625" style="254"/>
    <col min="4867" max="4867" width="8.42578125" style="254" customWidth="1"/>
    <col min="4868" max="4868" width="54.7109375" style="254" customWidth="1"/>
    <col min="4869" max="4869" width="7.85546875" style="254" customWidth="1"/>
    <col min="4870" max="4870" width="10" style="254" customWidth="1"/>
    <col min="4871" max="4871" width="20.5703125" style="254" customWidth="1"/>
    <col min="4872" max="4872" width="15.7109375" style="254" bestFit="1" customWidth="1"/>
    <col min="4873" max="4873" width="14.5703125" style="254" bestFit="1" customWidth="1"/>
    <col min="4874" max="5122" width="9.140625" style="254"/>
    <col min="5123" max="5123" width="8.42578125" style="254" customWidth="1"/>
    <col min="5124" max="5124" width="54.7109375" style="254" customWidth="1"/>
    <col min="5125" max="5125" width="7.85546875" style="254" customWidth="1"/>
    <col min="5126" max="5126" width="10" style="254" customWidth="1"/>
    <col min="5127" max="5127" width="20.5703125" style="254" customWidth="1"/>
    <col min="5128" max="5128" width="15.7109375" style="254" bestFit="1" customWidth="1"/>
    <col min="5129" max="5129" width="14.5703125" style="254" bestFit="1" customWidth="1"/>
    <col min="5130" max="5378" width="9.140625" style="254"/>
    <col min="5379" max="5379" width="8.42578125" style="254" customWidth="1"/>
    <col min="5380" max="5380" width="54.7109375" style="254" customWidth="1"/>
    <col min="5381" max="5381" width="7.85546875" style="254" customWidth="1"/>
    <col min="5382" max="5382" width="10" style="254" customWidth="1"/>
    <col min="5383" max="5383" width="20.5703125" style="254" customWidth="1"/>
    <col min="5384" max="5384" width="15.7109375" style="254" bestFit="1" customWidth="1"/>
    <col min="5385" max="5385" width="14.5703125" style="254" bestFit="1" customWidth="1"/>
    <col min="5386" max="5634" width="9.140625" style="254"/>
    <col min="5635" max="5635" width="8.42578125" style="254" customWidth="1"/>
    <col min="5636" max="5636" width="54.7109375" style="254" customWidth="1"/>
    <col min="5637" max="5637" width="7.85546875" style="254" customWidth="1"/>
    <col min="5638" max="5638" width="10" style="254" customWidth="1"/>
    <col min="5639" max="5639" width="20.5703125" style="254" customWidth="1"/>
    <col min="5640" max="5640" width="15.7109375" style="254" bestFit="1" customWidth="1"/>
    <col min="5641" max="5641" width="14.5703125" style="254" bestFit="1" customWidth="1"/>
    <col min="5642" max="5890" width="9.140625" style="254"/>
    <col min="5891" max="5891" width="8.42578125" style="254" customWidth="1"/>
    <col min="5892" max="5892" width="54.7109375" style="254" customWidth="1"/>
    <col min="5893" max="5893" width="7.85546875" style="254" customWidth="1"/>
    <col min="5894" max="5894" width="10" style="254" customWidth="1"/>
    <col min="5895" max="5895" width="20.5703125" style="254" customWidth="1"/>
    <col min="5896" max="5896" width="15.7109375" style="254" bestFit="1" customWidth="1"/>
    <col min="5897" max="5897" width="14.5703125" style="254" bestFit="1" customWidth="1"/>
    <col min="5898" max="6146" width="9.140625" style="254"/>
    <col min="6147" max="6147" width="8.42578125" style="254" customWidth="1"/>
    <col min="6148" max="6148" width="54.7109375" style="254" customWidth="1"/>
    <col min="6149" max="6149" width="7.85546875" style="254" customWidth="1"/>
    <col min="6150" max="6150" width="10" style="254" customWidth="1"/>
    <col min="6151" max="6151" width="20.5703125" style="254" customWidth="1"/>
    <col min="6152" max="6152" width="15.7109375" style="254" bestFit="1" customWidth="1"/>
    <col min="6153" max="6153" width="14.5703125" style="254" bestFit="1" customWidth="1"/>
    <col min="6154" max="6402" width="9.140625" style="254"/>
    <col min="6403" max="6403" width="8.42578125" style="254" customWidth="1"/>
    <col min="6404" max="6404" width="54.7109375" style="254" customWidth="1"/>
    <col min="6405" max="6405" width="7.85546875" style="254" customWidth="1"/>
    <col min="6406" max="6406" width="10" style="254" customWidth="1"/>
    <col min="6407" max="6407" width="20.5703125" style="254" customWidth="1"/>
    <col min="6408" max="6408" width="15.7109375" style="254" bestFit="1" customWidth="1"/>
    <col min="6409" max="6409" width="14.5703125" style="254" bestFit="1" customWidth="1"/>
    <col min="6410" max="6658" width="9.140625" style="254"/>
    <col min="6659" max="6659" width="8.42578125" style="254" customWidth="1"/>
    <col min="6660" max="6660" width="54.7109375" style="254" customWidth="1"/>
    <col min="6661" max="6661" width="7.85546875" style="254" customWidth="1"/>
    <col min="6662" max="6662" width="10" style="254" customWidth="1"/>
    <col min="6663" max="6663" width="20.5703125" style="254" customWidth="1"/>
    <col min="6664" max="6664" width="15.7109375" style="254" bestFit="1" customWidth="1"/>
    <col min="6665" max="6665" width="14.5703125" style="254" bestFit="1" customWidth="1"/>
    <col min="6666" max="6914" width="9.140625" style="254"/>
    <col min="6915" max="6915" width="8.42578125" style="254" customWidth="1"/>
    <col min="6916" max="6916" width="54.7109375" style="254" customWidth="1"/>
    <col min="6917" max="6917" width="7.85546875" style="254" customWidth="1"/>
    <col min="6918" max="6918" width="10" style="254" customWidth="1"/>
    <col min="6919" max="6919" width="20.5703125" style="254" customWidth="1"/>
    <col min="6920" max="6920" width="15.7109375" style="254" bestFit="1" customWidth="1"/>
    <col min="6921" max="6921" width="14.5703125" style="254" bestFit="1" customWidth="1"/>
    <col min="6922" max="7170" width="9.140625" style="254"/>
    <col min="7171" max="7171" width="8.42578125" style="254" customWidth="1"/>
    <col min="7172" max="7172" width="54.7109375" style="254" customWidth="1"/>
    <col min="7173" max="7173" width="7.85546875" style="254" customWidth="1"/>
    <col min="7174" max="7174" width="10" style="254" customWidth="1"/>
    <col min="7175" max="7175" width="20.5703125" style="254" customWidth="1"/>
    <col min="7176" max="7176" width="15.7109375" style="254" bestFit="1" customWidth="1"/>
    <col min="7177" max="7177" width="14.5703125" style="254" bestFit="1" customWidth="1"/>
    <col min="7178" max="7426" width="9.140625" style="254"/>
    <col min="7427" max="7427" width="8.42578125" style="254" customWidth="1"/>
    <col min="7428" max="7428" width="54.7109375" style="254" customWidth="1"/>
    <col min="7429" max="7429" width="7.85546875" style="254" customWidth="1"/>
    <col min="7430" max="7430" width="10" style="254" customWidth="1"/>
    <col min="7431" max="7431" width="20.5703125" style="254" customWidth="1"/>
    <col min="7432" max="7432" width="15.7109375" style="254" bestFit="1" customWidth="1"/>
    <col min="7433" max="7433" width="14.5703125" style="254" bestFit="1" customWidth="1"/>
    <col min="7434" max="7682" width="9.140625" style="254"/>
    <col min="7683" max="7683" width="8.42578125" style="254" customWidth="1"/>
    <col min="7684" max="7684" width="54.7109375" style="254" customWidth="1"/>
    <col min="7685" max="7685" width="7.85546875" style="254" customWidth="1"/>
    <col min="7686" max="7686" width="10" style="254" customWidth="1"/>
    <col min="7687" max="7687" width="20.5703125" style="254" customWidth="1"/>
    <col min="7688" max="7688" width="15.7109375" style="254" bestFit="1" customWidth="1"/>
    <col min="7689" max="7689" width="14.5703125" style="254" bestFit="1" customWidth="1"/>
    <col min="7690" max="7938" width="9.140625" style="254"/>
    <col min="7939" max="7939" width="8.42578125" style="254" customWidth="1"/>
    <col min="7940" max="7940" width="54.7109375" style="254" customWidth="1"/>
    <col min="7941" max="7941" width="7.85546875" style="254" customWidth="1"/>
    <col min="7942" max="7942" width="10" style="254" customWidth="1"/>
    <col min="7943" max="7943" width="20.5703125" style="254" customWidth="1"/>
    <col min="7944" max="7944" width="15.7109375" style="254" bestFit="1" customWidth="1"/>
    <col min="7945" max="7945" width="14.5703125" style="254" bestFit="1" customWidth="1"/>
    <col min="7946" max="8194" width="9.140625" style="254"/>
    <col min="8195" max="8195" width="8.42578125" style="254" customWidth="1"/>
    <col min="8196" max="8196" width="54.7109375" style="254" customWidth="1"/>
    <col min="8197" max="8197" width="7.85546875" style="254" customWidth="1"/>
    <col min="8198" max="8198" width="10" style="254" customWidth="1"/>
    <col min="8199" max="8199" width="20.5703125" style="254" customWidth="1"/>
    <col min="8200" max="8200" width="15.7109375" style="254" bestFit="1" customWidth="1"/>
    <col min="8201" max="8201" width="14.5703125" style="254" bestFit="1" customWidth="1"/>
    <col min="8202" max="8450" width="9.140625" style="254"/>
    <col min="8451" max="8451" width="8.42578125" style="254" customWidth="1"/>
    <col min="8452" max="8452" width="54.7109375" style="254" customWidth="1"/>
    <col min="8453" max="8453" width="7.85546875" style="254" customWidth="1"/>
    <col min="8454" max="8454" width="10" style="254" customWidth="1"/>
    <col min="8455" max="8455" width="20.5703125" style="254" customWidth="1"/>
    <col min="8456" max="8456" width="15.7109375" style="254" bestFit="1" customWidth="1"/>
    <col min="8457" max="8457" width="14.5703125" style="254" bestFit="1" customWidth="1"/>
    <col min="8458" max="8706" width="9.140625" style="254"/>
    <col min="8707" max="8707" width="8.42578125" style="254" customWidth="1"/>
    <col min="8708" max="8708" width="54.7109375" style="254" customWidth="1"/>
    <col min="8709" max="8709" width="7.85546875" style="254" customWidth="1"/>
    <col min="8710" max="8710" width="10" style="254" customWidth="1"/>
    <col min="8711" max="8711" width="20.5703125" style="254" customWidth="1"/>
    <col min="8712" max="8712" width="15.7109375" style="254" bestFit="1" customWidth="1"/>
    <col min="8713" max="8713" width="14.5703125" style="254" bestFit="1" customWidth="1"/>
    <col min="8714" max="8962" width="9.140625" style="254"/>
    <col min="8963" max="8963" width="8.42578125" style="254" customWidth="1"/>
    <col min="8964" max="8964" width="54.7109375" style="254" customWidth="1"/>
    <col min="8965" max="8965" width="7.85546875" style="254" customWidth="1"/>
    <col min="8966" max="8966" width="10" style="254" customWidth="1"/>
    <col min="8967" max="8967" width="20.5703125" style="254" customWidth="1"/>
    <col min="8968" max="8968" width="15.7109375" style="254" bestFit="1" customWidth="1"/>
    <col min="8969" max="8969" width="14.5703125" style="254" bestFit="1" customWidth="1"/>
    <col min="8970" max="9218" width="9.140625" style="254"/>
    <col min="9219" max="9219" width="8.42578125" style="254" customWidth="1"/>
    <col min="9220" max="9220" width="54.7109375" style="254" customWidth="1"/>
    <col min="9221" max="9221" width="7.85546875" style="254" customWidth="1"/>
    <col min="9222" max="9222" width="10" style="254" customWidth="1"/>
    <col min="9223" max="9223" width="20.5703125" style="254" customWidth="1"/>
    <col min="9224" max="9224" width="15.7109375" style="254" bestFit="1" customWidth="1"/>
    <col min="9225" max="9225" width="14.5703125" style="254" bestFit="1" customWidth="1"/>
    <col min="9226" max="9474" width="9.140625" style="254"/>
    <col min="9475" max="9475" width="8.42578125" style="254" customWidth="1"/>
    <col min="9476" max="9476" width="54.7109375" style="254" customWidth="1"/>
    <col min="9477" max="9477" width="7.85546875" style="254" customWidth="1"/>
    <col min="9478" max="9478" width="10" style="254" customWidth="1"/>
    <col min="9479" max="9479" width="20.5703125" style="254" customWidth="1"/>
    <col min="9480" max="9480" width="15.7109375" style="254" bestFit="1" customWidth="1"/>
    <col min="9481" max="9481" width="14.5703125" style="254" bestFit="1" customWidth="1"/>
    <col min="9482" max="9730" width="9.140625" style="254"/>
    <col min="9731" max="9731" width="8.42578125" style="254" customWidth="1"/>
    <col min="9732" max="9732" width="54.7109375" style="254" customWidth="1"/>
    <col min="9733" max="9733" width="7.85546875" style="254" customWidth="1"/>
    <col min="9734" max="9734" width="10" style="254" customWidth="1"/>
    <col min="9735" max="9735" width="20.5703125" style="254" customWidth="1"/>
    <col min="9736" max="9736" width="15.7109375" style="254" bestFit="1" customWidth="1"/>
    <col min="9737" max="9737" width="14.5703125" style="254" bestFit="1" customWidth="1"/>
    <col min="9738" max="9986" width="9.140625" style="254"/>
    <col min="9987" max="9987" width="8.42578125" style="254" customWidth="1"/>
    <col min="9988" max="9988" width="54.7109375" style="254" customWidth="1"/>
    <col min="9989" max="9989" width="7.85546875" style="254" customWidth="1"/>
    <col min="9990" max="9990" width="10" style="254" customWidth="1"/>
    <col min="9991" max="9991" width="20.5703125" style="254" customWidth="1"/>
    <col min="9992" max="9992" width="15.7109375" style="254" bestFit="1" customWidth="1"/>
    <col min="9993" max="9993" width="14.5703125" style="254" bestFit="1" customWidth="1"/>
    <col min="9994" max="10242" width="9.140625" style="254"/>
    <col min="10243" max="10243" width="8.42578125" style="254" customWidth="1"/>
    <col min="10244" max="10244" width="54.7109375" style="254" customWidth="1"/>
    <col min="10245" max="10245" width="7.85546875" style="254" customWidth="1"/>
    <col min="10246" max="10246" width="10" style="254" customWidth="1"/>
    <col min="10247" max="10247" width="20.5703125" style="254" customWidth="1"/>
    <col min="10248" max="10248" width="15.7109375" style="254" bestFit="1" customWidth="1"/>
    <col min="10249" max="10249" width="14.5703125" style="254" bestFit="1" customWidth="1"/>
    <col min="10250" max="10498" width="9.140625" style="254"/>
    <col min="10499" max="10499" width="8.42578125" style="254" customWidth="1"/>
    <col min="10500" max="10500" width="54.7109375" style="254" customWidth="1"/>
    <col min="10501" max="10501" width="7.85546875" style="254" customWidth="1"/>
    <col min="10502" max="10502" width="10" style="254" customWidth="1"/>
    <col min="10503" max="10503" width="20.5703125" style="254" customWidth="1"/>
    <col min="10504" max="10504" width="15.7109375" style="254" bestFit="1" customWidth="1"/>
    <col min="10505" max="10505" width="14.5703125" style="254" bestFit="1" customWidth="1"/>
    <col min="10506" max="10754" width="9.140625" style="254"/>
    <col min="10755" max="10755" width="8.42578125" style="254" customWidth="1"/>
    <col min="10756" max="10756" width="54.7109375" style="254" customWidth="1"/>
    <col min="10757" max="10757" width="7.85546875" style="254" customWidth="1"/>
    <col min="10758" max="10758" width="10" style="254" customWidth="1"/>
    <col min="10759" max="10759" width="20.5703125" style="254" customWidth="1"/>
    <col min="10760" max="10760" width="15.7109375" style="254" bestFit="1" customWidth="1"/>
    <col min="10761" max="10761" width="14.5703125" style="254" bestFit="1" customWidth="1"/>
    <col min="10762" max="11010" width="9.140625" style="254"/>
    <col min="11011" max="11011" width="8.42578125" style="254" customWidth="1"/>
    <col min="11012" max="11012" width="54.7109375" style="254" customWidth="1"/>
    <col min="11013" max="11013" width="7.85546875" style="254" customWidth="1"/>
    <col min="11014" max="11014" width="10" style="254" customWidth="1"/>
    <col min="11015" max="11015" width="20.5703125" style="254" customWidth="1"/>
    <col min="11016" max="11016" width="15.7109375" style="254" bestFit="1" customWidth="1"/>
    <col min="11017" max="11017" width="14.5703125" style="254" bestFit="1" customWidth="1"/>
    <col min="11018" max="11266" width="9.140625" style="254"/>
    <col min="11267" max="11267" width="8.42578125" style="254" customWidth="1"/>
    <col min="11268" max="11268" width="54.7109375" style="254" customWidth="1"/>
    <col min="11269" max="11269" width="7.85546875" style="254" customWidth="1"/>
    <col min="11270" max="11270" width="10" style="254" customWidth="1"/>
    <col min="11271" max="11271" width="20.5703125" style="254" customWidth="1"/>
    <col min="11272" max="11272" width="15.7109375" style="254" bestFit="1" customWidth="1"/>
    <col min="11273" max="11273" width="14.5703125" style="254" bestFit="1" customWidth="1"/>
    <col min="11274" max="11522" width="9.140625" style="254"/>
    <col min="11523" max="11523" width="8.42578125" style="254" customWidth="1"/>
    <col min="11524" max="11524" width="54.7109375" style="254" customWidth="1"/>
    <col min="11525" max="11525" width="7.85546875" style="254" customWidth="1"/>
    <col min="11526" max="11526" width="10" style="254" customWidth="1"/>
    <col min="11527" max="11527" width="20.5703125" style="254" customWidth="1"/>
    <col min="11528" max="11528" width="15.7109375" style="254" bestFit="1" customWidth="1"/>
    <col min="11529" max="11529" width="14.5703125" style="254" bestFit="1" customWidth="1"/>
    <col min="11530" max="11778" width="9.140625" style="254"/>
    <col min="11779" max="11779" width="8.42578125" style="254" customWidth="1"/>
    <col min="11780" max="11780" width="54.7109375" style="254" customWidth="1"/>
    <col min="11781" max="11781" width="7.85546875" style="254" customWidth="1"/>
    <col min="11782" max="11782" width="10" style="254" customWidth="1"/>
    <col min="11783" max="11783" width="20.5703125" style="254" customWidth="1"/>
    <col min="11784" max="11784" width="15.7109375" style="254" bestFit="1" customWidth="1"/>
    <col min="11785" max="11785" width="14.5703125" style="254" bestFit="1" customWidth="1"/>
    <col min="11786" max="12034" width="9.140625" style="254"/>
    <col min="12035" max="12035" width="8.42578125" style="254" customWidth="1"/>
    <col min="12036" max="12036" width="54.7109375" style="254" customWidth="1"/>
    <col min="12037" max="12037" width="7.85546875" style="254" customWidth="1"/>
    <col min="12038" max="12038" width="10" style="254" customWidth="1"/>
    <col min="12039" max="12039" width="20.5703125" style="254" customWidth="1"/>
    <col min="12040" max="12040" width="15.7109375" style="254" bestFit="1" customWidth="1"/>
    <col min="12041" max="12041" width="14.5703125" style="254" bestFit="1" customWidth="1"/>
    <col min="12042" max="12290" width="9.140625" style="254"/>
    <col min="12291" max="12291" width="8.42578125" style="254" customWidth="1"/>
    <col min="12292" max="12292" width="54.7109375" style="254" customWidth="1"/>
    <col min="12293" max="12293" width="7.85546875" style="254" customWidth="1"/>
    <col min="12294" max="12294" width="10" style="254" customWidth="1"/>
    <col min="12295" max="12295" width="20.5703125" style="254" customWidth="1"/>
    <col min="12296" max="12296" width="15.7109375" style="254" bestFit="1" customWidth="1"/>
    <col min="12297" max="12297" width="14.5703125" style="254" bestFit="1" customWidth="1"/>
    <col min="12298" max="12546" width="9.140625" style="254"/>
    <col min="12547" max="12547" width="8.42578125" style="254" customWidth="1"/>
    <col min="12548" max="12548" width="54.7109375" style="254" customWidth="1"/>
    <col min="12549" max="12549" width="7.85546875" style="254" customWidth="1"/>
    <col min="12550" max="12550" width="10" style="254" customWidth="1"/>
    <col min="12551" max="12551" width="20.5703125" style="254" customWidth="1"/>
    <col min="12552" max="12552" width="15.7109375" style="254" bestFit="1" customWidth="1"/>
    <col min="12553" max="12553" width="14.5703125" style="254" bestFit="1" customWidth="1"/>
    <col min="12554" max="12802" width="9.140625" style="254"/>
    <col min="12803" max="12803" width="8.42578125" style="254" customWidth="1"/>
    <col min="12804" max="12804" width="54.7109375" style="254" customWidth="1"/>
    <col min="12805" max="12805" width="7.85546875" style="254" customWidth="1"/>
    <col min="12806" max="12806" width="10" style="254" customWidth="1"/>
    <col min="12807" max="12807" width="20.5703125" style="254" customWidth="1"/>
    <col min="12808" max="12808" width="15.7109375" style="254" bestFit="1" customWidth="1"/>
    <col min="12809" max="12809" width="14.5703125" style="254" bestFit="1" customWidth="1"/>
    <col min="12810" max="13058" width="9.140625" style="254"/>
    <col min="13059" max="13059" width="8.42578125" style="254" customWidth="1"/>
    <col min="13060" max="13060" width="54.7109375" style="254" customWidth="1"/>
    <col min="13061" max="13061" width="7.85546875" style="254" customWidth="1"/>
    <col min="13062" max="13062" width="10" style="254" customWidth="1"/>
    <col min="13063" max="13063" width="20.5703125" style="254" customWidth="1"/>
    <col min="13064" max="13064" width="15.7109375" style="254" bestFit="1" customWidth="1"/>
    <col min="13065" max="13065" width="14.5703125" style="254" bestFit="1" customWidth="1"/>
    <col min="13066" max="13314" width="9.140625" style="254"/>
    <col min="13315" max="13315" width="8.42578125" style="254" customWidth="1"/>
    <col min="13316" max="13316" width="54.7109375" style="254" customWidth="1"/>
    <col min="13317" max="13317" width="7.85546875" style="254" customWidth="1"/>
    <col min="13318" max="13318" width="10" style="254" customWidth="1"/>
    <col min="13319" max="13319" width="20.5703125" style="254" customWidth="1"/>
    <col min="13320" max="13320" width="15.7109375" style="254" bestFit="1" customWidth="1"/>
    <col min="13321" max="13321" width="14.5703125" style="254" bestFit="1" customWidth="1"/>
    <col min="13322" max="13570" width="9.140625" style="254"/>
    <col min="13571" max="13571" width="8.42578125" style="254" customWidth="1"/>
    <col min="13572" max="13572" width="54.7109375" style="254" customWidth="1"/>
    <col min="13573" max="13573" width="7.85546875" style="254" customWidth="1"/>
    <col min="13574" max="13574" width="10" style="254" customWidth="1"/>
    <col min="13575" max="13575" width="20.5703125" style="254" customWidth="1"/>
    <col min="13576" max="13576" width="15.7109375" style="254" bestFit="1" customWidth="1"/>
    <col min="13577" max="13577" width="14.5703125" style="254" bestFit="1" customWidth="1"/>
    <col min="13578" max="13826" width="9.140625" style="254"/>
    <col min="13827" max="13827" width="8.42578125" style="254" customWidth="1"/>
    <col min="13828" max="13828" width="54.7109375" style="254" customWidth="1"/>
    <col min="13829" max="13829" width="7.85546875" style="254" customWidth="1"/>
    <col min="13830" max="13830" width="10" style="254" customWidth="1"/>
    <col min="13831" max="13831" width="20.5703125" style="254" customWidth="1"/>
    <col min="13832" max="13832" width="15.7109375" style="254" bestFit="1" customWidth="1"/>
    <col min="13833" max="13833" width="14.5703125" style="254" bestFit="1" customWidth="1"/>
    <col min="13834" max="14082" width="9.140625" style="254"/>
    <col min="14083" max="14083" width="8.42578125" style="254" customWidth="1"/>
    <col min="14084" max="14084" width="54.7109375" style="254" customWidth="1"/>
    <col min="14085" max="14085" width="7.85546875" style="254" customWidth="1"/>
    <col min="14086" max="14086" width="10" style="254" customWidth="1"/>
    <col min="14087" max="14087" width="20.5703125" style="254" customWidth="1"/>
    <col min="14088" max="14088" width="15.7109375" style="254" bestFit="1" customWidth="1"/>
    <col min="14089" max="14089" width="14.5703125" style="254" bestFit="1" customWidth="1"/>
    <col min="14090" max="14338" width="9.140625" style="254"/>
    <col min="14339" max="14339" width="8.42578125" style="254" customWidth="1"/>
    <col min="14340" max="14340" width="54.7109375" style="254" customWidth="1"/>
    <col min="14341" max="14341" width="7.85546875" style="254" customWidth="1"/>
    <col min="14342" max="14342" width="10" style="254" customWidth="1"/>
    <col min="14343" max="14343" width="20.5703125" style="254" customWidth="1"/>
    <col min="14344" max="14344" width="15.7109375" style="254" bestFit="1" customWidth="1"/>
    <col min="14345" max="14345" width="14.5703125" style="254" bestFit="1" customWidth="1"/>
    <col min="14346" max="14594" width="9.140625" style="254"/>
    <col min="14595" max="14595" width="8.42578125" style="254" customWidth="1"/>
    <col min="14596" max="14596" width="54.7109375" style="254" customWidth="1"/>
    <col min="14597" max="14597" width="7.85546875" style="254" customWidth="1"/>
    <col min="14598" max="14598" width="10" style="254" customWidth="1"/>
    <col min="14599" max="14599" width="20.5703125" style="254" customWidth="1"/>
    <col min="14600" max="14600" width="15.7109375" style="254" bestFit="1" customWidth="1"/>
    <col min="14601" max="14601" width="14.5703125" style="254" bestFit="1" customWidth="1"/>
    <col min="14602" max="14850" width="9.140625" style="254"/>
    <col min="14851" max="14851" width="8.42578125" style="254" customWidth="1"/>
    <col min="14852" max="14852" width="54.7109375" style="254" customWidth="1"/>
    <col min="14853" max="14853" width="7.85546875" style="254" customWidth="1"/>
    <col min="14854" max="14854" width="10" style="254" customWidth="1"/>
    <col min="14855" max="14855" width="20.5703125" style="254" customWidth="1"/>
    <col min="14856" max="14856" width="15.7109375" style="254" bestFit="1" customWidth="1"/>
    <col min="14857" max="14857" width="14.5703125" style="254" bestFit="1" customWidth="1"/>
    <col min="14858" max="15106" width="9.140625" style="254"/>
    <col min="15107" max="15107" width="8.42578125" style="254" customWidth="1"/>
    <col min="15108" max="15108" width="54.7109375" style="254" customWidth="1"/>
    <col min="15109" max="15109" width="7.85546875" style="254" customWidth="1"/>
    <col min="15110" max="15110" width="10" style="254" customWidth="1"/>
    <col min="15111" max="15111" width="20.5703125" style="254" customWidth="1"/>
    <col min="15112" max="15112" width="15.7109375" style="254" bestFit="1" customWidth="1"/>
    <col min="15113" max="15113" width="14.5703125" style="254" bestFit="1" customWidth="1"/>
    <col min="15114" max="15362" width="9.140625" style="254"/>
    <col min="15363" max="15363" width="8.42578125" style="254" customWidth="1"/>
    <col min="15364" max="15364" width="54.7109375" style="254" customWidth="1"/>
    <col min="15365" max="15365" width="7.85546875" style="254" customWidth="1"/>
    <col min="15366" max="15366" width="10" style="254" customWidth="1"/>
    <col min="15367" max="15367" width="20.5703125" style="254" customWidth="1"/>
    <col min="15368" max="15368" width="15.7109375" style="254" bestFit="1" customWidth="1"/>
    <col min="15369" max="15369" width="14.5703125" style="254" bestFit="1" customWidth="1"/>
    <col min="15370" max="15618" width="9.140625" style="254"/>
    <col min="15619" max="15619" width="8.42578125" style="254" customWidth="1"/>
    <col min="15620" max="15620" width="54.7109375" style="254" customWidth="1"/>
    <col min="15621" max="15621" width="7.85546875" style="254" customWidth="1"/>
    <col min="15622" max="15622" width="10" style="254" customWidth="1"/>
    <col min="15623" max="15623" width="20.5703125" style="254" customWidth="1"/>
    <col min="15624" max="15624" width="15.7109375" style="254" bestFit="1" customWidth="1"/>
    <col min="15625" max="15625" width="14.5703125" style="254" bestFit="1" customWidth="1"/>
    <col min="15626" max="15874" width="9.140625" style="254"/>
    <col min="15875" max="15875" width="8.42578125" style="254" customWidth="1"/>
    <col min="15876" max="15876" width="54.7109375" style="254" customWidth="1"/>
    <col min="15877" max="15877" width="7.85546875" style="254" customWidth="1"/>
    <col min="15878" max="15878" width="10" style="254" customWidth="1"/>
    <col min="15879" max="15879" width="20.5703125" style="254" customWidth="1"/>
    <col min="15880" max="15880" width="15.7109375" style="254" bestFit="1" customWidth="1"/>
    <col min="15881" max="15881" width="14.5703125" style="254" bestFit="1" customWidth="1"/>
    <col min="15882" max="16130" width="9.140625" style="254"/>
    <col min="16131" max="16131" width="8.42578125" style="254" customWidth="1"/>
    <col min="16132" max="16132" width="54.7109375" style="254" customWidth="1"/>
    <col min="16133" max="16133" width="7.85546875" style="254" customWidth="1"/>
    <col min="16134" max="16134" width="10" style="254" customWidth="1"/>
    <col min="16135" max="16135" width="20.5703125" style="254" customWidth="1"/>
    <col min="16136" max="16136" width="15.7109375" style="254" bestFit="1" customWidth="1"/>
    <col min="16137" max="16137" width="14.5703125" style="254" bestFit="1" customWidth="1"/>
    <col min="16138" max="16384" width="9.140625" style="254"/>
  </cols>
  <sheetData>
    <row r="1" spans="1:11" ht="20.100000000000001" customHeight="1" x14ac:dyDescent="0.25">
      <c r="A1" s="251"/>
      <c r="B1" s="251"/>
      <c r="C1" s="251"/>
      <c r="D1" s="330"/>
      <c r="E1" s="252"/>
      <c r="F1" s="252"/>
      <c r="G1" s="252"/>
    </row>
    <row r="2" spans="1:11" ht="20.100000000000001" customHeight="1" x14ac:dyDescent="0.25">
      <c r="A2" s="251"/>
      <c r="B2" s="251"/>
      <c r="C2" s="251"/>
      <c r="D2" s="330"/>
      <c r="E2" s="252"/>
      <c r="F2" s="252"/>
      <c r="G2" s="252"/>
    </row>
    <row r="3" spans="1:11" ht="20.100000000000001" customHeight="1" x14ac:dyDescent="0.25">
      <c r="A3" s="251"/>
      <c r="B3" s="251"/>
      <c r="C3" s="251"/>
      <c r="D3" s="330"/>
      <c r="E3" s="252"/>
      <c r="F3" s="252"/>
      <c r="G3" s="252"/>
    </row>
    <row r="4" spans="1:11" ht="20.100000000000001" customHeight="1" x14ac:dyDescent="0.25">
      <c r="A4" s="251"/>
      <c r="B4" s="251"/>
      <c r="C4" s="251"/>
      <c r="D4" s="330"/>
      <c r="E4" s="252"/>
      <c r="F4" s="252"/>
      <c r="G4" s="252"/>
    </row>
    <row r="5" spans="1:11" ht="20.100000000000001" customHeight="1" x14ac:dyDescent="0.25">
      <c r="A5" s="251"/>
      <c r="B5" s="251"/>
      <c r="C5" s="251"/>
      <c r="D5" s="330"/>
      <c r="E5" s="252"/>
      <c r="F5" s="252"/>
      <c r="G5" s="252"/>
    </row>
    <row r="6" spans="1:11" ht="20.100000000000001" customHeight="1" x14ac:dyDescent="0.25">
      <c r="A6" s="251"/>
      <c r="B6" s="251"/>
      <c r="C6" s="251"/>
      <c r="D6" s="330"/>
      <c r="E6" s="252"/>
      <c r="F6" s="252"/>
      <c r="G6" s="252"/>
    </row>
    <row r="7" spans="1:11" ht="20.100000000000001" customHeight="1" x14ac:dyDescent="0.25">
      <c r="A7" s="255"/>
      <c r="B7" s="251"/>
      <c r="C7" s="251"/>
      <c r="D7" s="330"/>
      <c r="E7" s="252"/>
      <c r="F7" s="252"/>
      <c r="G7" s="252"/>
    </row>
    <row r="8" spans="1:11" ht="20.100000000000001" customHeight="1" x14ac:dyDescent="0.25">
      <c r="A8" s="251"/>
      <c r="B8" s="251"/>
      <c r="C8" s="251"/>
      <c r="D8" s="330"/>
      <c r="E8" s="252"/>
      <c r="F8" s="252"/>
      <c r="G8" s="252"/>
    </row>
    <row r="9" spans="1:11" ht="20.100000000000001" customHeight="1" x14ac:dyDescent="0.25">
      <c r="A9" s="255" t="s">
        <v>510</v>
      </c>
      <c r="B9" s="251"/>
      <c r="C9" s="251"/>
      <c r="D9" s="330"/>
      <c r="E9" s="252"/>
      <c r="F9" s="252"/>
      <c r="G9" s="252"/>
    </row>
    <row r="10" spans="1:11" ht="20.100000000000001" customHeight="1" x14ac:dyDescent="0.25">
      <c r="A10" s="255"/>
      <c r="B10" s="251"/>
      <c r="C10" s="251"/>
      <c r="D10" s="330"/>
      <c r="E10" s="252"/>
      <c r="F10" s="252"/>
      <c r="G10" s="252"/>
    </row>
    <row r="11" spans="1:11" s="100" customFormat="1" x14ac:dyDescent="0.25">
      <c r="C11" s="258"/>
      <c r="D11" s="331"/>
      <c r="E11" s="252"/>
      <c r="F11" s="259"/>
      <c r="G11" s="259"/>
      <c r="H11" s="260"/>
      <c r="J11" s="369"/>
      <c r="K11" s="264"/>
    </row>
    <row r="12" spans="1:11" s="100" customFormat="1" x14ac:dyDescent="0.25">
      <c r="C12" s="258"/>
      <c r="D12" s="331"/>
      <c r="E12" s="252"/>
      <c r="F12" s="259"/>
      <c r="G12" s="259"/>
      <c r="H12" s="260"/>
      <c r="J12" s="369"/>
      <c r="K12" s="264"/>
    </row>
    <row r="13" spans="1:11" s="100" customFormat="1" x14ac:dyDescent="0.25">
      <c r="A13" s="261" t="s">
        <v>480</v>
      </c>
      <c r="B13" s="106"/>
      <c r="C13" s="106"/>
      <c r="D13" s="162"/>
      <c r="E13" s="106"/>
      <c r="F13" s="262"/>
      <c r="G13" s="262"/>
      <c r="H13" s="260"/>
      <c r="J13" s="369"/>
      <c r="K13" s="264"/>
    </row>
    <row r="14" spans="1:11" s="100" customFormat="1" x14ac:dyDescent="0.25">
      <c r="A14" s="261" t="s">
        <v>481</v>
      </c>
      <c r="B14" s="98"/>
      <c r="C14" s="98"/>
      <c r="D14" s="170"/>
      <c r="E14" s="263" t="s">
        <v>511</v>
      </c>
      <c r="F14" s="264"/>
      <c r="G14" s="264">
        <f>+D18+D34+D50+D100+D117</f>
        <v>24200</v>
      </c>
      <c r="H14" s="260"/>
      <c r="J14" s="369"/>
      <c r="K14" s="264"/>
    </row>
    <row r="15" spans="1:11" s="100" customFormat="1" x14ac:dyDescent="0.25">
      <c r="A15" s="98"/>
      <c r="B15" s="98"/>
      <c r="C15" s="98"/>
      <c r="D15" s="170"/>
      <c r="E15" s="265"/>
      <c r="F15" s="266"/>
      <c r="G15" s="266"/>
      <c r="H15" s="260"/>
      <c r="J15" s="369"/>
      <c r="K15" s="264"/>
    </row>
    <row r="16" spans="1:11" s="272" customFormat="1" ht="17.100000000000001" customHeight="1" x14ac:dyDescent="0.25">
      <c r="A16" s="332" t="s">
        <v>1</v>
      </c>
      <c r="B16" s="332" t="s">
        <v>284</v>
      </c>
      <c r="C16" s="332" t="s">
        <v>26</v>
      </c>
      <c r="D16" s="333" t="s">
        <v>285</v>
      </c>
      <c r="E16" s="334" t="s">
        <v>286</v>
      </c>
      <c r="F16" s="335" t="s">
        <v>287</v>
      </c>
      <c r="G16" s="355"/>
      <c r="H16" s="271"/>
      <c r="I16" s="125"/>
      <c r="J16" s="370"/>
      <c r="K16" s="375"/>
    </row>
    <row r="17" spans="1:13" s="272" customFormat="1" ht="17.100000000000001" customHeight="1" x14ac:dyDescent="0.25">
      <c r="A17" s="267" t="s">
        <v>288</v>
      </c>
      <c r="B17" s="273" t="s">
        <v>482</v>
      </c>
      <c r="C17" s="267"/>
      <c r="D17" s="336"/>
      <c r="E17" s="269"/>
      <c r="F17" s="270"/>
      <c r="G17" s="356"/>
      <c r="H17" s="274"/>
      <c r="I17" s="261"/>
      <c r="J17" s="371"/>
      <c r="K17" s="376"/>
    </row>
    <row r="18" spans="1:13" ht="17.100000000000001" customHeight="1" x14ac:dyDescent="0.25">
      <c r="A18" s="61" t="s">
        <v>289</v>
      </c>
      <c r="B18" s="275" t="s">
        <v>290</v>
      </c>
      <c r="C18" s="61" t="s">
        <v>205</v>
      </c>
      <c r="D18" s="337">
        <v>2500</v>
      </c>
      <c r="E18" s="59">
        <f>10380+1828</f>
        <v>12208</v>
      </c>
      <c r="F18" s="276">
        <f>+E18*D18</f>
        <v>30520000</v>
      </c>
      <c r="G18" s="357"/>
      <c r="H18" s="253">
        <v>5825</v>
      </c>
      <c r="I18" s="277">
        <v>1.4</v>
      </c>
      <c r="J18" s="372"/>
      <c r="K18" s="329">
        <v>8154.9999999999991</v>
      </c>
      <c r="L18" s="254">
        <v>1.2727999999999999</v>
      </c>
      <c r="M18" s="254">
        <f>+K18*L18</f>
        <v>10379.683999999997</v>
      </c>
    </row>
    <row r="19" spans="1:13" ht="17.100000000000001" customHeight="1" x14ac:dyDescent="0.25">
      <c r="A19" s="61" t="s">
        <v>291</v>
      </c>
      <c r="B19" s="275" t="s">
        <v>292</v>
      </c>
      <c r="C19" s="61" t="s">
        <v>205</v>
      </c>
      <c r="D19" s="337">
        <v>2500</v>
      </c>
      <c r="E19" s="59">
        <v>4410.2519999999995</v>
      </c>
      <c r="F19" s="276">
        <f t="shared" ref="F19:F85" si="0">+E19*D19</f>
        <v>11025629.999999998</v>
      </c>
      <c r="G19" s="357"/>
      <c r="H19" s="253">
        <v>2475</v>
      </c>
      <c r="I19" s="277">
        <v>1.4</v>
      </c>
      <c r="J19" s="372"/>
      <c r="K19" s="329">
        <v>3465</v>
      </c>
      <c r="L19" s="254">
        <v>1.2727999999999999</v>
      </c>
      <c r="M19" s="254">
        <f t="shared" ref="M19:M82" si="1">+K19*L19</f>
        <v>4410.2519999999995</v>
      </c>
    </row>
    <row r="20" spans="1:13" ht="17.100000000000001" customHeight="1" x14ac:dyDescent="0.25">
      <c r="A20" s="61" t="s">
        <v>293</v>
      </c>
      <c r="B20" s="275" t="s">
        <v>294</v>
      </c>
      <c r="C20" s="61" t="s">
        <v>205</v>
      </c>
      <c r="D20" s="337">
        <v>600</v>
      </c>
      <c r="E20" s="59">
        <v>1719.5527999999999</v>
      </c>
      <c r="F20" s="276">
        <f>+E20*D20</f>
        <v>1031731.6799999999</v>
      </c>
      <c r="G20" s="357"/>
      <c r="H20" s="253">
        <v>965</v>
      </c>
      <c r="I20" s="277">
        <v>1.4</v>
      </c>
      <c r="J20" s="372"/>
      <c r="K20" s="329">
        <v>1351</v>
      </c>
      <c r="L20" s="254">
        <v>1.2727999999999999</v>
      </c>
      <c r="M20" s="254">
        <f t="shared" si="1"/>
        <v>1719.5527999999999</v>
      </c>
    </row>
    <row r="21" spans="1:13" ht="17.100000000000001" customHeight="1" x14ac:dyDescent="0.25">
      <c r="A21" s="61" t="s">
        <v>295</v>
      </c>
      <c r="B21" s="275" t="s">
        <v>296</v>
      </c>
      <c r="C21" s="61" t="s">
        <v>203</v>
      </c>
      <c r="D21" s="337">
        <v>350</v>
      </c>
      <c r="E21" s="59">
        <v>4632.9919999999993</v>
      </c>
      <c r="F21" s="276">
        <f t="shared" si="0"/>
        <v>1621547.1999999997</v>
      </c>
      <c r="G21" s="357"/>
      <c r="H21" s="253">
        <v>2600</v>
      </c>
      <c r="I21" s="277">
        <v>1.4</v>
      </c>
      <c r="J21" s="372"/>
      <c r="K21" s="329">
        <v>3639.9999999999995</v>
      </c>
      <c r="L21" s="254">
        <v>1.2727999999999999</v>
      </c>
      <c r="M21" s="254">
        <f t="shared" si="1"/>
        <v>4632.9919999999993</v>
      </c>
    </row>
    <row r="22" spans="1:13" ht="17.100000000000001" customHeight="1" x14ac:dyDescent="0.25">
      <c r="A22" s="61" t="s">
        <v>297</v>
      </c>
      <c r="B22" s="275" t="s">
        <v>298</v>
      </c>
      <c r="C22" s="61" t="s">
        <v>203</v>
      </c>
      <c r="D22" s="337">
        <v>350</v>
      </c>
      <c r="E22" s="59">
        <v>7243.5047999999997</v>
      </c>
      <c r="F22" s="276">
        <f t="shared" si="0"/>
        <v>2535226.6799999997</v>
      </c>
      <c r="G22" s="357"/>
      <c r="H22" s="253">
        <v>4065</v>
      </c>
      <c r="I22" s="277">
        <v>1.4</v>
      </c>
      <c r="J22" s="372"/>
      <c r="K22" s="329">
        <v>5691</v>
      </c>
      <c r="L22" s="254">
        <v>1.2727999999999999</v>
      </c>
      <c r="M22" s="254">
        <f t="shared" si="1"/>
        <v>7243.5047999999997</v>
      </c>
    </row>
    <row r="23" spans="1:13" ht="17.100000000000001" customHeight="1" x14ac:dyDescent="0.25">
      <c r="A23" s="61" t="s">
        <v>299</v>
      </c>
      <c r="B23" s="275" t="s">
        <v>218</v>
      </c>
      <c r="C23" s="61" t="s">
        <v>205</v>
      </c>
      <c r="D23" s="337">
        <v>5000</v>
      </c>
      <c r="E23" s="59">
        <v>2672.8799999999997</v>
      </c>
      <c r="F23" s="276">
        <f t="shared" si="0"/>
        <v>13364399.999999998</v>
      </c>
      <c r="G23" s="357"/>
      <c r="H23" s="253">
        <v>1500</v>
      </c>
      <c r="I23" s="277">
        <v>1.4</v>
      </c>
      <c r="J23" s="372"/>
      <c r="K23" s="329">
        <v>2100</v>
      </c>
      <c r="L23" s="254">
        <v>1.2727999999999999</v>
      </c>
      <c r="M23" s="254">
        <f t="shared" si="1"/>
        <v>2672.8799999999997</v>
      </c>
    </row>
    <row r="24" spans="1:13" ht="17.100000000000001" customHeight="1" x14ac:dyDescent="0.25">
      <c r="A24" s="61" t="s">
        <v>300</v>
      </c>
      <c r="B24" s="275" t="s">
        <v>202</v>
      </c>
      <c r="C24" s="61" t="s">
        <v>205</v>
      </c>
      <c r="D24" s="337">
        <v>2500</v>
      </c>
      <c r="E24" s="59">
        <v>258.3784</v>
      </c>
      <c r="F24" s="276">
        <f t="shared" si="0"/>
        <v>645946</v>
      </c>
      <c r="G24" s="357"/>
      <c r="H24" s="253">
        <v>145</v>
      </c>
      <c r="I24" s="277">
        <v>1.4</v>
      </c>
      <c r="J24" s="372"/>
      <c r="K24" s="329">
        <v>203</v>
      </c>
      <c r="L24" s="254">
        <v>1.2727999999999999</v>
      </c>
      <c r="M24" s="254">
        <f t="shared" si="1"/>
        <v>258.3784</v>
      </c>
    </row>
    <row r="25" spans="1:13" ht="17.100000000000001" customHeight="1" x14ac:dyDescent="0.25">
      <c r="A25" s="61" t="s">
        <v>301</v>
      </c>
      <c r="B25" s="275" t="s">
        <v>484</v>
      </c>
      <c r="C25" s="61" t="s">
        <v>203</v>
      </c>
      <c r="D25" s="337">
        <v>50</v>
      </c>
      <c r="E25" s="59">
        <v>15146.32</v>
      </c>
      <c r="F25" s="276">
        <f t="shared" si="0"/>
        <v>757316</v>
      </c>
      <c r="G25" s="357"/>
      <c r="H25" s="253">
        <v>8500</v>
      </c>
      <c r="I25" s="277">
        <v>1.4</v>
      </c>
      <c r="J25" s="372"/>
      <c r="K25" s="329">
        <v>11900</v>
      </c>
      <c r="L25" s="254">
        <v>1.2727999999999999</v>
      </c>
      <c r="M25" s="254">
        <f t="shared" si="1"/>
        <v>15146.32</v>
      </c>
    </row>
    <row r="26" spans="1:13" ht="17.100000000000001" customHeight="1" x14ac:dyDescent="0.25">
      <c r="A26" s="61" t="s">
        <v>302</v>
      </c>
      <c r="B26" s="275" t="s">
        <v>485</v>
      </c>
      <c r="C26" s="61" t="s">
        <v>203</v>
      </c>
      <c r="D26" s="337">
        <v>50</v>
      </c>
      <c r="E26" s="59">
        <v>5078.4719999999988</v>
      </c>
      <c r="F26" s="276">
        <f t="shared" si="0"/>
        <v>253923.59999999995</v>
      </c>
      <c r="G26" s="357"/>
      <c r="H26" s="253">
        <v>2850</v>
      </c>
      <c r="I26" s="277">
        <v>1.4</v>
      </c>
      <c r="J26" s="372"/>
      <c r="K26" s="329">
        <v>3989.9999999999995</v>
      </c>
      <c r="L26" s="254">
        <v>1.2727999999999999</v>
      </c>
      <c r="M26" s="254">
        <f t="shared" si="1"/>
        <v>5078.4719999999988</v>
      </c>
    </row>
    <row r="27" spans="1:13" ht="17.100000000000001" customHeight="1" x14ac:dyDescent="0.25">
      <c r="A27" s="61" t="s">
        <v>303</v>
      </c>
      <c r="B27" s="275" t="s">
        <v>486</v>
      </c>
      <c r="C27" s="61" t="s">
        <v>203</v>
      </c>
      <c r="D27" s="337">
        <v>50</v>
      </c>
      <c r="E27" s="59">
        <v>26728.799999999999</v>
      </c>
      <c r="F27" s="278">
        <f>+D27*E27</f>
        <v>1336440</v>
      </c>
      <c r="G27" s="358"/>
      <c r="H27" s="253">
        <v>15000</v>
      </c>
      <c r="I27" s="277">
        <v>1.4</v>
      </c>
      <c r="J27" s="372"/>
      <c r="K27" s="329">
        <v>21000</v>
      </c>
      <c r="L27" s="254">
        <v>1.2727999999999999</v>
      </c>
      <c r="M27" s="254">
        <f t="shared" si="1"/>
        <v>26728.799999999999</v>
      </c>
    </row>
    <row r="28" spans="1:13" ht="17.100000000000001" customHeight="1" x14ac:dyDescent="0.25">
      <c r="A28" s="61" t="s">
        <v>305</v>
      </c>
      <c r="B28" s="275" t="s">
        <v>306</v>
      </c>
      <c r="C28" s="61" t="s">
        <v>205</v>
      </c>
      <c r="D28" s="337">
        <v>2500</v>
      </c>
      <c r="E28" s="59">
        <v>22274</v>
      </c>
      <c r="F28" s="278">
        <f t="shared" ref="F28:F31" si="2">+D28*E28</f>
        <v>55685000</v>
      </c>
      <c r="G28" s="358"/>
      <c r="H28" s="253">
        <v>12500</v>
      </c>
      <c r="I28" s="277">
        <v>1.4</v>
      </c>
      <c r="J28" s="372"/>
      <c r="K28" s="329">
        <v>17500</v>
      </c>
      <c r="L28" s="254">
        <v>1.2727999999999999</v>
      </c>
      <c r="M28" s="254">
        <f t="shared" si="1"/>
        <v>22274</v>
      </c>
    </row>
    <row r="29" spans="1:13" ht="17.100000000000001" customHeight="1" x14ac:dyDescent="0.25">
      <c r="A29" s="61" t="s">
        <v>307</v>
      </c>
      <c r="B29" s="275" t="s">
        <v>223</v>
      </c>
      <c r="C29" s="61" t="s">
        <v>205</v>
      </c>
      <c r="D29" s="337">
        <v>350</v>
      </c>
      <c r="E29" s="59">
        <v>2672.8799999999997</v>
      </c>
      <c r="F29" s="278">
        <f t="shared" si="2"/>
        <v>935507.99999999988</v>
      </c>
      <c r="G29" s="358"/>
      <c r="H29" s="253">
        <v>1500</v>
      </c>
      <c r="I29" s="277">
        <v>1.4</v>
      </c>
      <c r="J29" s="372"/>
      <c r="K29" s="329">
        <v>2100</v>
      </c>
      <c r="L29" s="254">
        <v>1.2727999999999999</v>
      </c>
      <c r="M29" s="254">
        <f t="shared" si="1"/>
        <v>2672.8799999999997</v>
      </c>
    </row>
    <row r="30" spans="1:13" ht="31.5" customHeight="1" x14ac:dyDescent="0.25">
      <c r="A30" s="61" t="s">
        <v>308</v>
      </c>
      <c r="B30" s="310" t="s">
        <v>309</v>
      </c>
      <c r="C30" s="61" t="s">
        <v>203</v>
      </c>
      <c r="D30" s="337">
        <v>10</v>
      </c>
      <c r="E30" s="59">
        <v>44548</v>
      </c>
      <c r="F30" s="278">
        <f t="shared" si="2"/>
        <v>445480</v>
      </c>
      <c r="G30" s="358"/>
      <c r="H30" s="253">
        <v>25000</v>
      </c>
      <c r="I30" s="277">
        <v>1.4</v>
      </c>
      <c r="J30" s="372"/>
      <c r="K30" s="329">
        <v>35000</v>
      </c>
      <c r="L30" s="254">
        <v>1.2727999999999999</v>
      </c>
      <c r="M30" s="254">
        <f t="shared" si="1"/>
        <v>44548</v>
      </c>
    </row>
    <row r="31" spans="1:13" ht="17.100000000000001" customHeight="1" x14ac:dyDescent="0.25">
      <c r="A31" s="61" t="s">
        <v>310</v>
      </c>
      <c r="B31" s="275" t="s">
        <v>311</v>
      </c>
      <c r="C31" s="61" t="s">
        <v>203</v>
      </c>
      <c r="D31" s="337">
        <v>40</v>
      </c>
      <c r="E31" s="59">
        <v>35638.400000000001</v>
      </c>
      <c r="F31" s="278">
        <f t="shared" si="2"/>
        <v>1425536</v>
      </c>
      <c r="G31" s="358"/>
      <c r="H31" s="253">
        <v>20000</v>
      </c>
      <c r="I31" s="277">
        <v>1.4</v>
      </c>
      <c r="J31" s="372"/>
      <c r="K31" s="329">
        <v>28000</v>
      </c>
      <c r="L31" s="254">
        <v>1.2727999999999999</v>
      </c>
      <c r="M31" s="254">
        <f t="shared" si="1"/>
        <v>35638.400000000001</v>
      </c>
    </row>
    <row r="32" spans="1:13" ht="17.100000000000001" customHeight="1" x14ac:dyDescent="0.25">
      <c r="A32" s="61"/>
      <c r="B32" s="275"/>
      <c r="C32" s="61"/>
      <c r="D32" s="337"/>
      <c r="E32" s="59">
        <v>0</v>
      </c>
      <c r="F32" s="278"/>
      <c r="G32" s="358"/>
      <c r="I32" s="277"/>
      <c r="J32" s="372"/>
      <c r="K32" s="329">
        <v>0</v>
      </c>
      <c r="L32" s="254">
        <v>1.2727999999999999</v>
      </c>
      <c r="M32" s="254">
        <f t="shared" si="1"/>
        <v>0</v>
      </c>
    </row>
    <row r="33" spans="1:13" s="272" customFormat="1" ht="17.100000000000001" customHeight="1" x14ac:dyDescent="0.25">
      <c r="A33" s="267" t="s">
        <v>312</v>
      </c>
      <c r="B33" s="273" t="s">
        <v>487</v>
      </c>
      <c r="C33" s="267"/>
      <c r="D33" s="336"/>
      <c r="E33" s="59">
        <v>0</v>
      </c>
      <c r="F33" s="276"/>
      <c r="G33" s="357"/>
      <c r="H33" s="274"/>
      <c r="I33" s="277">
        <v>1.4</v>
      </c>
      <c r="J33" s="372"/>
      <c r="K33" s="376">
        <v>0</v>
      </c>
      <c r="L33" s="254">
        <v>1.2727999999999999</v>
      </c>
      <c r="M33" s="254">
        <f t="shared" si="1"/>
        <v>0</v>
      </c>
    </row>
    <row r="34" spans="1:13" ht="17.100000000000001" customHeight="1" x14ac:dyDescent="0.25">
      <c r="A34" s="61" t="s">
        <v>289</v>
      </c>
      <c r="B34" s="275" t="s">
        <v>290</v>
      </c>
      <c r="C34" s="61" t="s">
        <v>205</v>
      </c>
      <c r="D34" s="337">
        <v>2500</v>
      </c>
      <c r="E34" s="59">
        <v>12208</v>
      </c>
      <c r="F34" s="276">
        <f>+E34*D34</f>
        <v>30520000</v>
      </c>
      <c r="G34" s="357"/>
      <c r="H34" s="253">
        <v>5825</v>
      </c>
      <c r="I34" s="277">
        <v>1.4</v>
      </c>
      <c r="J34" s="372"/>
      <c r="K34" s="329">
        <v>8154.9999999999991</v>
      </c>
      <c r="L34" s="254">
        <v>1.2727999999999999</v>
      </c>
      <c r="M34" s="254">
        <f t="shared" si="1"/>
        <v>10379.683999999997</v>
      </c>
    </row>
    <row r="35" spans="1:13" ht="17.100000000000001" customHeight="1" x14ac:dyDescent="0.25">
      <c r="A35" s="61" t="s">
        <v>314</v>
      </c>
      <c r="B35" s="275" t="s">
        <v>292</v>
      </c>
      <c r="C35" s="61" t="s">
        <v>205</v>
      </c>
      <c r="D35" s="337">
        <v>2500</v>
      </c>
      <c r="E35" s="59">
        <v>4410.2519999999995</v>
      </c>
      <c r="F35" s="276">
        <f t="shared" si="0"/>
        <v>11025629.999999998</v>
      </c>
      <c r="G35" s="357"/>
      <c r="H35" s="253">
        <v>2475</v>
      </c>
      <c r="I35" s="277">
        <v>1.4</v>
      </c>
      <c r="J35" s="372"/>
      <c r="K35" s="329">
        <v>3465</v>
      </c>
      <c r="L35" s="254">
        <v>1.2727999999999999</v>
      </c>
      <c r="M35" s="254">
        <f t="shared" si="1"/>
        <v>4410.2519999999995</v>
      </c>
    </row>
    <row r="36" spans="1:13" ht="17.100000000000001" customHeight="1" x14ac:dyDescent="0.25">
      <c r="A36" s="61" t="s">
        <v>315</v>
      </c>
      <c r="B36" s="275" t="s">
        <v>294</v>
      </c>
      <c r="C36" s="61" t="s">
        <v>205</v>
      </c>
      <c r="D36" s="337">
        <v>600</v>
      </c>
      <c r="E36" s="59">
        <v>1719.5527999999999</v>
      </c>
      <c r="F36" s="276">
        <f t="shared" si="0"/>
        <v>1031731.6799999999</v>
      </c>
      <c r="G36" s="357"/>
      <c r="H36" s="253">
        <v>965</v>
      </c>
      <c r="I36" s="277">
        <v>1.4</v>
      </c>
      <c r="J36" s="372"/>
      <c r="K36" s="329">
        <v>1351</v>
      </c>
      <c r="L36" s="254">
        <v>1.2727999999999999</v>
      </c>
      <c r="M36" s="254">
        <f t="shared" si="1"/>
        <v>1719.5527999999999</v>
      </c>
    </row>
    <row r="37" spans="1:13" ht="17.100000000000001" customHeight="1" x14ac:dyDescent="0.25">
      <c r="A37" s="61" t="s">
        <v>316</v>
      </c>
      <c r="B37" s="275" t="s">
        <v>216</v>
      </c>
      <c r="C37" s="61" t="s">
        <v>203</v>
      </c>
      <c r="D37" s="337">
        <v>350</v>
      </c>
      <c r="E37" s="59">
        <v>4632.9919999999993</v>
      </c>
      <c r="F37" s="276">
        <f t="shared" si="0"/>
        <v>1621547.1999999997</v>
      </c>
      <c r="G37" s="357"/>
      <c r="H37" s="253">
        <v>2600</v>
      </c>
      <c r="I37" s="277">
        <v>1.4</v>
      </c>
      <c r="J37" s="372"/>
      <c r="K37" s="329">
        <v>3639.9999999999995</v>
      </c>
      <c r="L37" s="254">
        <v>1.2727999999999999</v>
      </c>
      <c r="M37" s="254">
        <f t="shared" si="1"/>
        <v>4632.9919999999993</v>
      </c>
    </row>
    <row r="38" spans="1:13" ht="17.100000000000001" customHeight="1" x14ac:dyDescent="0.25">
      <c r="A38" s="61" t="s">
        <v>317</v>
      </c>
      <c r="B38" s="275" t="s">
        <v>318</v>
      </c>
      <c r="C38" s="61" t="s">
        <v>203</v>
      </c>
      <c r="D38" s="337">
        <v>350</v>
      </c>
      <c r="E38" s="59">
        <v>7243.5047999999997</v>
      </c>
      <c r="F38" s="276">
        <f t="shared" si="0"/>
        <v>2535226.6799999997</v>
      </c>
      <c r="G38" s="357"/>
      <c r="H38" s="253">
        <v>4065</v>
      </c>
      <c r="I38" s="277">
        <v>1.4</v>
      </c>
      <c r="J38" s="372"/>
      <c r="K38" s="329">
        <v>5691</v>
      </c>
      <c r="L38" s="254">
        <v>1.2727999999999999</v>
      </c>
      <c r="M38" s="254">
        <f t="shared" si="1"/>
        <v>7243.5047999999997</v>
      </c>
    </row>
    <row r="39" spans="1:13" ht="17.100000000000001" customHeight="1" x14ac:dyDescent="0.25">
      <c r="A39" s="61" t="s">
        <v>319</v>
      </c>
      <c r="B39" s="275" t="s">
        <v>218</v>
      </c>
      <c r="C39" s="61" t="s">
        <v>205</v>
      </c>
      <c r="D39" s="337">
        <v>5000</v>
      </c>
      <c r="E39" s="59">
        <v>2672.8799999999997</v>
      </c>
      <c r="F39" s="276">
        <f t="shared" si="0"/>
        <v>13364399.999999998</v>
      </c>
      <c r="G39" s="357"/>
      <c r="H39" s="253">
        <v>1500</v>
      </c>
      <c r="I39" s="277">
        <v>1.4</v>
      </c>
      <c r="J39" s="372"/>
      <c r="K39" s="329">
        <v>2100</v>
      </c>
      <c r="L39" s="254">
        <v>1.2727999999999999</v>
      </c>
      <c r="M39" s="254">
        <f t="shared" si="1"/>
        <v>2672.8799999999997</v>
      </c>
    </row>
    <row r="40" spans="1:13" ht="17.100000000000001" customHeight="1" x14ac:dyDescent="0.25">
      <c r="A40" s="61" t="s">
        <v>320</v>
      </c>
      <c r="B40" s="275" t="s">
        <v>202</v>
      </c>
      <c r="C40" s="61" t="s">
        <v>205</v>
      </c>
      <c r="D40" s="337">
        <v>350</v>
      </c>
      <c r="E40" s="59">
        <v>258.3784</v>
      </c>
      <c r="F40" s="276">
        <f t="shared" si="0"/>
        <v>90432.44</v>
      </c>
      <c r="G40" s="357"/>
      <c r="H40" s="253">
        <v>145</v>
      </c>
      <c r="I40" s="277">
        <v>1.4</v>
      </c>
      <c r="J40" s="372"/>
      <c r="K40" s="329">
        <v>203</v>
      </c>
      <c r="L40" s="254">
        <v>1.2727999999999999</v>
      </c>
      <c r="M40" s="254">
        <f t="shared" si="1"/>
        <v>258.3784</v>
      </c>
    </row>
    <row r="41" spans="1:13" ht="17.100000000000001" customHeight="1" x14ac:dyDescent="0.25">
      <c r="A41" s="61" t="s">
        <v>321</v>
      </c>
      <c r="B41" s="275" t="s">
        <v>219</v>
      </c>
      <c r="C41" s="61" t="s">
        <v>203</v>
      </c>
      <c r="D41" s="337">
        <v>41</v>
      </c>
      <c r="E41" s="59">
        <v>15146.32</v>
      </c>
      <c r="F41" s="276">
        <f t="shared" si="0"/>
        <v>620999.12</v>
      </c>
      <c r="G41" s="357"/>
      <c r="H41" s="253">
        <v>8500</v>
      </c>
      <c r="I41" s="277">
        <v>1.4</v>
      </c>
      <c r="J41" s="372"/>
      <c r="K41" s="329">
        <v>11900</v>
      </c>
      <c r="L41" s="254">
        <v>1.2727999999999999</v>
      </c>
      <c r="M41" s="254">
        <f t="shared" si="1"/>
        <v>15146.32</v>
      </c>
    </row>
    <row r="42" spans="1:13" ht="17.100000000000001" customHeight="1" x14ac:dyDescent="0.25">
      <c r="A42" s="61" t="s">
        <v>322</v>
      </c>
      <c r="B42" s="275" t="s">
        <v>220</v>
      </c>
      <c r="C42" s="61" t="s">
        <v>203</v>
      </c>
      <c r="D42" s="337">
        <v>41</v>
      </c>
      <c r="E42" s="59">
        <v>5078.4719999999988</v>
      </c>
      <c r="F42" s="276">
        <f t="shared" si="0"/>
        <v>208217.35199999996</v>
      </c>
      <c r="G42" s="357"/>
      <c r="H42" s="253">
        <v>2850</v>
      </c>
      <c r="I42" s="277">
        <v>1.4</v>
      </c>
      <c r="J42" s="372"/>
      <c r="K42" s="329">
        <v>3989.9999999999995</v>
      </c>
      <c r="L42" s="254">
        <v>1.2727999999999999</v>
      </c>
      <c r="M42" s="254">
        <f t="shared" si="1"/>
        <v>5078.4719999999988</v>
      </c>
    </row>
    <row r="43" spans="1:13" ht="17.100000000000001" customHeight="1" x14ac:dyDescent="0.25">
      <c r="A43" s="61" t="s">
        <v>323</v>
      </c>
      <c r="B43" s="275" t="s">
        <v>304</v>
      </c>
      <c r="C43" s="61" t="s">
        <v>203</v>
      </c>
      <c r="D43" s="337">
        <v>41</v>
      </c>
      <c r="E43" s="59">
        <v>26728.799999999999</v>
      </c>
      <c r="F43" s="278">
        <f t="shared" ref="F43:F47" si="3">+D43*E43</f>
        <v>1095880.8</v>
      </c>
      <c r="G43" s="358"/>
      <c r="H43" s="253">
        <v>15000</v>
      </c>
      <c r="I43" s="277">
        <v>1.4</v>
      </c>
      <c r="J43" s="372"/>
      <c r="K43" s="329">
        <v>21000</v>
      </c>
      <c r="L43" s="254">
        <v>1.2727999999999999</v>
      </c>
      <c r="M43" s="254">
        <f t="shared" si="1"/>
        <v>26728.799999999999</v>
      </c>
    </row>
    <row r="44" spans="1:13" ht="17.100000000000001" customHeight="1" x14ac:dyDescent="0.25">
      <c r="A44" s="61" t="s">
        <v>324</v>
      </c>
      <c r="B44" s="275" t="s">
        <v>222</v>
      </c>
      <c r="C44" s="61" t="s">
        <v>205</v>
      </c>
      <c r="D44" s="337">
        <v>2500</v>
      </c>
      <c r="E44" s="59">
        <v>22274</v>
      </c>
      <c r="F44" s="278">
        <f t="shared" si="3"/>
        <v>55685000</v>
      </c>
      <c r="G44" s="358"/>
      <c r="H44" s="253">
        <v>12500</v>
      </c>
      <c r="I44" s="277">
        <v>1.4</v>
      </c>
      <c r="J44" s="372"/>
      <c r="K44" s="329">
        <v>17500</v>
      </c>
      <c r="L44" s="254">
        <v>1.2727999999999999</v>
      </c>
      <c r="M44" s="254">
        <f t="shared" si="1"/>
        <v>22274</v>
      </c>
    </row>
    <row r="45" spans="1:13" ht="17.100000000000001" customHeight="1" x14ac:dyDescent="0.25">
      <c r="A45" s="61" t="s">
        <v>325</v>
      </c>
      <c r="B45" s="275" t="s">
        <v>311</v>
      </c>
      <c r="C45" s="61" t="s">
        <v>203</v>
      </c>
      <c r="D45" s="337">
        <v>41</v>
      </c>
      <c r="E45" s="59">
        <v>44548</v>
      </c>
      <c r="F45" s="278">
        <f t="shared" si="3"/>
        <v>1826468</v>
      </c>
      <c r="G45" s="358"/>
      <c r="H45" s="253">
        <v>25000</v>
      </c>
      <c r="I45" s="277">
        <v>1.4</v>
      </c>
      <c r="J45" s="372"/>
      <c r="K45" s="329">
        <v>35000</v>
      </c>
      <c r="L45" s="254">
        <v>1.2727999999999999</v>
      </c>
      <c r="M45" s="254">
        <f t="shared" si="1"/>
        <v>44548</v>
      </c>
    </row>
    <row r="46" spans="1:13" ht="17.100000000000001" customHeight="1" x14ac:dyDescent="0.25">
      <c r="A46" s="61" t="s">
        <v>326</v>
      </c>
      <c r="B46" s="275" t="s">
        <v>223</v>
      </c>
      <c r="C46" s="61" t="s">
        <v>205</v>
      </c>
      <c r="D46" s="337">
        <v>350</v>
      </c>
      <c r="E46" s="59">
        <v>2672.8799999999997</v>
      </c>
      <c r="F46" s="278">
        <f t="shared" si="3"/>
        <v>935507.99999999988</v>
      </c>
      <c r="G46" s="358"/>
      <c r="H46" s="253">
        <v>1500</v>
      </c>
      <c r="I46" s="277">
        <v>1.4</v>
      </c>
      <c r="J46" s="372"/>
      <c r="K46" s="329">
        <v>2100</v>
      </c>
      <c r="L46" s="254">
        <v>1.2727999999999999</v>
      </c>
      <c r="M46" s="254">
        <f t="shared" si="1"/>
        <v>2672.8799999999997</v>
      </c>
    </row>
    <row r="47" spans="1:13" ht="17.100000000000001" customHeight="1" x14ac:dyDescent="0.25">
      <c r="A47" s="61" t="s">
        <v>327</v>
      </c>
      <c r="B47" s="275" t="s">
        <v>488</v>
      </c>
      <c r="C47" s="61" t="s">
        <v>329</v>
      </c>
      <c r="D47" s="337">
        <v>20</v>
      </c>
      <c r="E47" s="59">
        <v>169282.4</v>
      </c>
      <c r="F47" s="278">
        <f t="shared" si="3"/>
        <v>3385648</v>
      </c>
      <c r="G47" s="358"/>
      <c r="H47" s="253">
        <v>95000</v>
      </c>
      <c r="I47" s="277">
        <v>1.4</v>
      </c>
      <c r="J47" s="372"/>
      <c r="K47" s="329">
        <v>133000</v>
      </c>
      <c r="L47" s="254">
        <v>1.2727999999999999</v>
      </c>
      <c r="M47" s="254">
        <f t="shared" si="1"/>
        <v>169282.4</v>
      </c>
    </row>
    <row r="48" spans="1:13" ht="17.100000000000001" customHeight="1" x14ac:dyDescent="0.25">
      <c r="A48" s="61"/>
      <c r="B48" s="275"/>
      <c r="C48" s="61"/>
      <c r="D48" s="337"/>
      <c r="E48" s="59"/>
      <c r="F48" s="278"/>
      <c r="G48" s="358"/>
      <c r="I48" s="277"/>
      <c r="J48" s="372"/>
    </row>
    <row r="49" spans="1:13" s="272" customFormat="1" ht="17.100000000000001" customHeight="1" x14ac:dyDescent="0.25">
      <c r="A49" s="267" t="s">
        <v>330</v>
      </c>
      <c r="B49" s="273" t="s">
        <v>489</v>
      </c>
      <c r="C49" s="267"/>
      <c r="D49" s="337"/>
      <c r="E49" s="59"/>
      <c r="F49" s="276"/>
      <c r="G49" s="357"/>
      <c r="H49" s="274"/>
      <c r="I49" s="277">
        <v>1.4</v>
      </c>
      <c r="J49" s="372"/>
      <c r="K49" s="376">
        <v>0</v>
      </c>
      <c r="L49" s="254">
        <v>1.2727999999999999</v>
      </c>
      <c r="M49" s="254">
        <f t="shared" si="1"/>
        <v>0</v>
      </c>
    </row>
    <row r="50" spans="1:13" ht="17.100000000000001" customHeight="1" x14ac:dyDescent="0.25">
      <c r="A50" s="61" t="s">
        <v>289</v>
      </c>
      <c r="B50" s="275" t="s">
        <v>290</v>
      </c>
      <c r="C50" s="61" t="s">
        <v>205</v>
      </c>
      <c r="D50" s="337">
        <v>2200</v>
      </c>
      <c r="E50" s="59">
        <v>12208</v>
      </c>
      <c r="F50" s="276">
        <f>+E50*D50</f>
        <v>26857600</v>
      </c>
      <c r="G50" s="357"/>
      <c r="H50" s="253">
        <v>5825</v>
      </c>
      <c r="I50" s="277">
        <v>1.4</v>
      </c>
      <c r="J50" s="372"/>
      <c r="K50" s="329">
        <v>8154.9999999999991</v>
      </c>
      <c r="L50" s="254">
        <v>1.2727999999999999</v>
      </c>
      <c r="M50" s="254">
        <f t="shared" si="1"/>
        <v>10379.683999999997</v>
      </c>
    </row>
    <row r="51" spans="1:13" ht="17.100000000000001" customHeight="1" x14ac:dyDescent="0.25">
      <c r="A51" s="61" t="s">
        <v>332</v>
      </c>
      <c r="B51" s="275" t="s">
        <v>292</v>
      </c>
      <c r="C51" s="61" t="s">
        <v>205</v>
      </c>
      <c r="D51" s="337">
        <v>2200</v>
      </c>
      <c r="E51" s="59">
        <v>4410.2519999999995</v>
      </c>
      <c r="F51" s="276">
        <f t="shared" si="0"/>
        <v>9702554.3999999985</v>
      </c>
      <c r="G51" s="357"/>
      <c r="H51" s="253">
        <v>2475</v>
      </c>
      <c r="I51" s="277">
        <v>1.4</v>
      </c>
      <c r="J51" s="372"/>
      <c r="K51" s="329">
        <v>3465</v>
      </c>
      <c r="L51" s="254">
        <v>1.2727999999999999</v>
      </c>
      <c r="M51" s="254">
        <f t="shared" si="1"/>
        <v>4410.2519999999995</v>
      </c>
    </row>
    <row r="52" spans="1:13" ht="17.100000000000001" customHeight="1" x14ac:dyDescent="0.25">
      <c r="A52" s="61" t="s">
        <v>333</v>
      </c>
      <c r="B52" s="275" t="s">
        <v>334</v>
      </c>
      <c r="C52" s="61" t="s">
        <v>205</v>
      </c>
      <c r="D52" s="337">
        <v>400</v>
      </c>
      <c r="E52" s="59">
        <v>1719.5527999999999</v>
      </c>
      <c r="F52" s="276">
        <f t="shared" si="0"/>
        <v>687821.12</v>
      </c>
      <c r="G52" s="357"/>
      <c r="H52" s="253">
        <v>965</v>
      </c>
      <c r="I52" s="277">
        <v>1.4</v>
      </c>
      <c r="J52" s="372"/>
      <c r="K52" s="329">
        <v>1351</v>
      </c>
      <c r="L52" s="254">
        <v>1.2727999999999999</v>
      </c>
      <c r="M52" s="254">
        <f t="shared" si="1"/>
        <v>1719.5527999999999</v>
      </c>
    </row>
    <row r="53" spans="1:13" ht="17.100000000000001" customHeight="1" x14ac:dyDescent="0.25">
      <c r="A53" s="61" t="s">
        <v>335</v>
      </c>
      <c r="B53" s="275" t="s">
        <v>216</v>
      </c>
      <c r="C53" s="61" t="s">
        <v>203</v>
      </c>
      <c r="D53" s="337">
        <v>230</v>
      </c>
      <c r="E53" s="59">
        <v>4632.9919999999993</v>
      </c>
      <c r="F53" s="276">
        <f t="shared" si="0"/>
        <v>1065588.1599999999</v>
      </c>
      <c r="G53" s="357"/>
      <c r="H53" s="253">
        <v>2600</v>
      </c>
      <c r="I53" s="277">
        <v>1.4</v>
      </c>
      <c r="J53" s="372"/>
      <c r="K53" s="329">
        <v>3639.9999999999995</v>
      </c>
      <c r="L53" s="254">
        <v>1.2727999999999999</v>
      </c>
      <c r="M53" s="254">
        <f t="shared" si="1"/>
        <v>4632.9919999999993</v>
      </c>
    </row>
    <row r="54" spans="1:13" ht="17.100000000000001" customHeight="1" x14ac:dyDescent="0.25">
      <c r="A54" s="61" t="s">
        <v>336</v>
      </c>
      <c r="B54" s="275" t="s">
        <v>298</v>
      </c>
      <c r="C54" s="61" t="s">
        <v>203</v>
      </c>
      <c r="D54" s="337">
        <v>230</v>
      </c>
      <c r="E54" s="59">
        <v>7243.5047999999997</v>
      </c>
      <c r="F54" s="276">
        <f t="shared" si="0"/>
        <v>1666006.1039999998</v>
      </c>
      <c r="G54" s="357"/>
      <c r="H54" s="253">
        <v>4065</v>
      </c>
      <c r="I54" s="277">
        <v>1.4</v>
      </c>
      <c r="J54" s="372"/>
      <c r="K54" s="329">
        <v>5691</v>
      </c>
      <c r="L54" s="254">
        <v>1.2727999999999999</v>
      </c>
      <c r="M54" s="254">
        <f t="shared" si="1"/>
        <v>7243.5047999999997</v>
      </c>
    </row>
    <row r="55" spans="1:13" ht="17.100000000000001" customHeight="1" x14ac:dyDescent="0.25">
      <c r="A55" s="61" t="s">
        <v>337</v>
      </c>
      <c r="B55" s="275" t="s">
        <v>218</v>
      </c>
      <c r="C55" s="61" t="s">
        <v>205</v>
      </c>
      <c r="D55" s="337">
        <v>4000</v>
      </c>
      <c r="E55" s="59">
        <v>2672.8799999999997</v>
      </c>
      <c r="F55" s="276">
        <f t="shared" si="0"/>
        <v>10691519.999999998</v>
      </c>
      <c r="G55" s="357"/>
      <c r="H55" s="253">
        <v>1500</v>
      </c>
      <c r="I55" s="277">
        <v>1.4</v>
      </c>
      <c r="J55" s="372"/>
      <c r="K55" s="329">
        <v>2100</v>
      </c>
      <c r="L55" s="254">
        <v>1.2727999999999999</v>
      </c>
      <c r="M55" s="254">
        <f t="shared" si="1"/>
        <v>2672.8799999999997</v>
      </c>
    </row>
    <row r="56" spans="1:13" ht="17.100000000000001" customHeight="1" x14ac:dyDescent="0.25">
      <c r="A56" s="61" t="s">
        <v>338</v>
      </c>
      <c r="B56" s="275" t="s">
        <v>202</v>
      </c>
      <c r="C56" s="61" t="s">
        <v>205</v>
      </c>
      <c r="D56" s="337">
        <v>800</v>
      </c>
      <c r="E56" s="59">
        <v>258.3784</v>
      </c>
      <c r="F56" s="276">
        <f t="shared" si="0"/>
        <v>206702.72</v>
      </c>
      <c r="G56" s="357"/>
      <c r="H56" s="253">
        <v>145</v>
      </c>
      <c r="I56" s="277">
        <v>1.4</v>
      </c>
      <c r="J56" s="372"/>
      <c r="K56" s="329">
        <v>203</v>
      </c>
      <c r="L56" s="254">
        <v>1.2727999999999999</v>
      </c>
      <c r="M56" s="254">
        <f t="shared" si="1"/>
        <v>258.3784</v>
      </c>
    </row>
    <row r="57" spans="1:13" ht="17.100000000000001" customHeight="1" x14ac:dyDescent="0.25">
      <c r="A57" s="61" t="s">
        <v>339</v>
      </c>
      <c r="B57" s="275" t="s">
        <v>490</v>
      </c>
      <c r="C57" s="61" t="s">
        <v>203</v>
      </c>
      <c r="D57" s="337">
        <v>16</v>
      </c>
      <c r="E57" s="59">
        <v>15146.32</v>
      </c>
      <c r="F57" s="276">
        <f t="shared" si="0"/>
        <v>242341.12</v>
      </c>
      <c r="G57" s="357"/>
      <c r="H57" s="253">
        <v>8500</v>
      </c>
      <c r="I57" s="277">
        <v>1.4</v>
      </c>
      <c r="J57" s="372"/>
      <c r="K57" s="329">
        <v>11900</v>
      </c>
      <c r="L57" s="254">
        <v>1.2727999999999999</v>
      </c>
      <c r="M57" s="254">
        <f t="shared" si="1"/>
        <v>15146.32</v>
      </c>
    </row>
    <row r="58" spans="1:13" ht="17.100000000000001" customHeight="1" x14ac:dyDescent="0.25">
      <c r="A58" s="61" t="s">
        <v>340</v>
      </c>
      <c r="B58" s="275" t="s">
        <v>485</v>
      </c>
      <c r="C58" s="61" t="s">
        <v>203</v>
      </c>
      <c r="D58" s="337">
        <v>16</v>
      </c>
      <c r="E58" s="59">
        <v>5078.4719999999988</v>
      </c>
      <c r="F58" s="276">
        <f t="shared" si="0"/>
        <v>81255.551999999981</v>
      </c>
      <c r="G58" s="357"/>
      <c r="H58" s="253">
        <v>2850</v>
      </c>
      <c r="I58" s="277">
        <v>1.4</v>
      </c>
      <c r="J58" s="372"/>
      <c r="K58" s="329">
        <v>3989.9999999999995</v>
      </c>
      <c r="L58" s="254">
        <v>1.2727999999999999</v>
      </c>
      <c r="M58" s="254">
        <f t="shared" si="1"/>
        <v>5078.4719999999988</v>
      </c>
    </row>
    <row r="59" spans="1:13" ht="17.100000000000001" customHeight="1" x14ac:dyDescent="0.25">
      <c r="A59" s="61" t="s">
        <v>341</v>
      </c>
      <c r="B59" s="275" t="s">
        <v>304</v>
      </c>
      <c r="C59" s="61" t="s">
        <v>203</v>
      </c>
      <c r="D59" s="337">
        <v>16</v>
      </c>
      <c r="E59" s="59">
        <v>22274</v>
      </c>
      <c r="F59" s="278">
        <f t="shared" ref="F59:F63" si="4">+D59*E59</f>
        <v>356384</v>
      </c>
      <c r="G59" s="358"/>
      <c r="H59" s="253">
        <v>12500</v>
      </c>
      <c r="I59" s="277">
        <v>1.4</v>
      </c>
      <c r="J59" s="372"/>
      <c r="K59" s="329">
        <v>17500</v>
      </c>
      <c r="L59" s="254">
        <v>1.2727999999999999</v>
      </c>
      <c r="M59" s="254">
        <f t="shared" si="1"/>
        <v>22274</v>
      </c>
    </row>
    <row r="60" spans="1:13" ht="17.100000000000001" customHeight="1" x14ac:dyDescent="0.25">
      <c r="A60" s="61" t="s">
        <v>342</v>
      </c>
      <c r="B60" s="275" t="s">
        <v>222</v>
      </c>
      <c r="C60" s="61" t="s">
        <v>205</v>
      </c>
      <c r="D60" s="337">
        <v>700</v>
      </c>
      <c r="E60" s="59">
        <v>22274</v>
      </c>
      <c r="F60" s="278">
        <f t="shared" si="4"/>
        <v>15591800</v>
      </c>
      <c r="G60" s="358"/>
      <c r="H60" s="253">
        <v>12500</v>
      </c>
      <c r="I60" s="277">
        <v>1.4</v>
      </c>
      <c r="J60" s="372"/>
      <c r="K60" s="329">
        <v>17500</v>
      </c>
      <c r="L60" s="254">
        <v>1.2727999999999999</v>
      </c>
      <c r="M60" s="254">
        <f t="shared" si="1"/>
        <v>22274</v>
      </c>
    </row>
    <row r="61" spans="1:13" ht="17.100000000000001" customHeight="1" x14ac:dyDescent="0.25">
      <c r="A61" s="61" t="s">
        <v>343</v>
      </c>
      <c r="B61" s="275" t="s">
        <v>223</v>
      </c>
      <c r="C61" s="61" t="s">
        <v>205</v>
      </c>
      <c r="D61" s="337">
        <v>800</v>
      </c>
      <c r="E61" s="59">
        <v>2672.8799999999997</v>
      </c>
      <c r="F61" s="278">
        <f t="shared" si="4"/>
        <v>2138303.9999999995</v>
      </c>
      <c r="G61" s="358"/>
      <c r="H61" s="253">
        <v>1500</v>
      </c>
      <c r="I61" s="277">
        <v>1.4</v>
      </c>
      <c r="J61" s="372"/>
      <c r="K61" s="329">
        <v>2100</v>
      </c>
      <c r="L61" s="254">
        <v>1.2727999999999999</v>
      </c>
      <c r="M61" s="254">
        <f t="shared" si="1"/>
        <v>2672.8799999999997</v>
      </c>
    </row>
    <row r="62" spans="1:13" ht="17.100000000000001" customHeight="1" x14ac:dyDescent="0.25">
      <c r="A62" s="61" t="s">
        <v>344</v>
      </c>
      <c r="B62" s="275" t="s">
        <v>311</v>
      </c>
      <c r="C62" s="61" t="s">
        <v>203</v>
      </c>
      <c r="D62" s="337">
        <v>16</v>
      </c>
      <c r="E62" s="59">
        <v>44548</v>
      </c>
      <c r="F62" s="278">
        <f t="shared" si="4"/>
        <v>712768</v>
      </c>
      <c r="G62" s="358"/>
      <c r="H62" s="253">
        <v>25000</v>
      </c>
      <c r="I62" s="277">
        <v>1.4</v>
      </c>
      <c r="J62" s="372"/>
      <c r="K62" s="329">
        <v>35000</v>
      </c>
      <c r="L62" s="254">
        <v>1.2727999999999999</v>
      </c>
      <c r="M62" s="254">
        <f t="shared" si="1"/>
        <v>44548</v>
      </c>
    </row>
    <row r="63" spans="1:13" ht="17.100000000000001" customHeight="1" x14ac:dyDescent="0.25">
      <c r="A63" s="61" t="s">
        <v>345</v>
      </c>
      <c r="B63" s="275" t="s">
        <v>488</v>
      </c>
      <c r="C63" s="61" t="s">
        <v>329</v>
      </c>
      <c r="D63" s="337">
        <v>20</v>
      </c>
      <c r="E63" s="59">
        <v>169282.4</v>
      </c>
      <c r="F63" s="278">
        <f t="shared" si="4"/>
        <v>3385648</v>
      </c>
      <c r="G63" s="358"/>
      <c r="H63" s="253">
        <v>95000</v>
      </c>
      <c r="I63" s="277">
        <v>1.4</v>
      </c>
      <c r="J63" s="372"/>
      <c r="K63" s="329">
        <v>133000</v>
      </c>
      <c r="L63" s="254">
        <v>1.2727999999999999</v>
      </c>
      <c r="M63" s="254">
        <f t="shared" si="1"/>
        <v>169282.4</v>
      </c>
    </row>
    <row r="64" spans="1:13" ht="17.100000000000001" customHeight="1" x14ac:dyDescent="0.25">
      <c r="A64" s="61"/>
      <c r="B64" s="275"/>
      <c r="C64" s="61"/>
      <c r="D64" s="337"/>
      <c r="E64" s="59">
        <v>0</v>
      </c>
      <c r="F64" s="278"/>
      <c r="G64" s="358"/>
      <c r="I64" s="277"/>
      <c r="J64" s="372"/>
      <c r="K64" s="329">
        <v>0</v>
      </c>
      <c r="L64" s="254">
        <v>1.2727999999999999</v>
      </c>
      <c r="M64" s="254">
        <f t="shared" si="1"/>
        <v>0</v>
      </c>
    </row>
    <row r="65" spans="1:13" s="272" customFormat="1" ht="32.25" customHeight="1" x14ac:dyDescent="0.25">
      <c r="A65" s="267" t="s">
        <v>346</v>
      </c>
      <c r="B65" s="281" t="s">
        <v>491</v>
      </c>
      <c r="C65" s="267"/>
      <c r="D65" s="336"/>
      <c r="E65" s="59">
        <v>0</v>
      </c>
      <c r="F65" s="276"/>
      <c r="G65" s="357"/>
      <c r="H65" s="274"/>
      <c r="I65" s="277"/>
      <c r="J65" s="372"/>
      <c r="K65" s="376">
        <v>0</v>
      </c>
      <c r="L65" s="254">
        <v>1.2727999999999999</v>
      </c>
      <c r="M65" s="254">
        <f t="shared" si="1"/>
        <v>0</v>
      </c>
    </row>
    <row r="66" spans="1:13" ht="17.100000000000001" customHeight="1" x14ac:dyDescent="0.25">
      <c r="A66" s="61" t="s">
        <v>347</v>
      </c>
      <c r="B66" s="275" t="s">
        <v>292</v>
      </c>
      <c r="C66" s="61" t="s">
        <v>205</v>
      </c>
      <c r="D66" s="337">
        <v>500</v>
      </c>
      <c r="E66" s="59">
        <v>4410.2519999999995</v>
      </c>
      <c r="F66" s="276">
        <f t="shared" si="0"/>
        <v>2205125.9999999995</v>
      </c>
      <c r="G66" s="357"/>
      <c r="H66" s="253">
        <v>2475</v>
      </c>
      <c r="I66" s="277">
        <v>1.4</v>
      </c>
      <c r="J66" s="372"/>
      <c r="K66" s="329">
        <v>3465</v>
      </c>
      <c r="L66" s="254">
        <v>1.2727999999999999</v>
      </c>
      <c r="M66" s="254">
        <f t="shared" si="1"/>
        <v>4410.2519999999995</v>
      </c>
    </row>
    <row r="67" spans="1:13" ht="17.100000000000001" customHeight="1" x14ac:dyDescent="0.25">
      <c r="A67" s="61" t="s">
        <v>348</v>
      </c>
      <c r="B67" s="275" t="s">
        <v>492</v>
      </c>
      <c r="C67" s="61" t="s">
        <v>203</v>
      </c>
      <c r="D67" s="337">
        <v>9</v>
      </c>
      <c r="E67" s="59">
        <v>37272.420639999997</v>
      </c>
      <c r="F67" s="276">
        <f t="shared" si="0"/>
        <v>335451.78576</v>
      </c>
      <c r="G67" s="357"/>
      <c r="H67" s="253">
        <v>20917</v>
      </c>
      <c r="I67" s="277">
        <v>1.4</v>
      </c>
      <c r="J67" s="372"/>
      <c r="K67" s="329">
        <v>29283.8</v>
      </c>
      <c r="L67" s="254">
        <v>1.2727999999999999</v>
      </c>
      <c r="M67" s="254">
        <f t="shared" si="1"/>
        <v>37272.420639999997</v>
      </c>
    </row>
    <row r="68" spans="1:13" ht="17.100000000000001" customHeight="1" x14ac:dyDescent="0.25">
      <c r="A68" s="61" t="s">
        <v>349</v>
      </c>
      <c r="B68" s="275" t="s">
        <v>493</v>
      </c>
      <c r="C68" s="61" t="s">
        <v>205</v>
      </c>
      <c r="D68" s="337">
        <v>9</v>
      </c>
      <c r="E68" s="59">
        <v>8767.0463999999993</v>
      </c>
      <c r="F68" s="276">
        <f t="shared" si="0"/>
        <v>78903.417599999986</v>
      </c>
      <c r="G68" s="357"/>
      <c r="H68" s="253">
        <v>4920</v>
      </c>
      <c r="I68" s="277">
        <v>1.4</v>
      </c>
      <c r="J68" s="372"/>
      <c r="K68" s="329">
        <v>6888</v>
      </c>
      <c r="L68" s="254">
        <v>1.2727999999999999</v>
      </c>
      <c r="M68" s="254">
        <f t="shared" si="1"/>
        <v>8767.0463999999993</v>
      </c>
    </row>
    <row r="69" spans="1:13" ht="17.100000000000001" customHeight="1" x14ac:dyDescent="0.25">
      <c r="A69" s="61" t="s">
        <v>351</v>
      </c>
      <c r="B69" s="275" t="s">
        <v>231</v>
      </c>
      <c r="C69" s="61" t="s">
        <v>203</v>
      </c>
      <c r="D69" s="337">
        <v>1</v>
      </c>
      <c r="E69" s="59">
        <v>6236.7199999999993</v>
      </c>
      <c r="F69" s="276">
        <f t="shared" si="0"/>
        <v>6236.7199999999993</v>
      </c>
      <c r="G69" s="357"/>
      <c r="H69" s="253">
        <v>3500</v>
      </c>
      <c r="I69" s="277">
        <v>1.4</v>
      </c>
      <c r="J69" s="372"/>
      <c r="K69" s="329">
        <v>4900</v>
      </c>
      <c r="L69" s="254">
        <v>1.2727999999999999</v>
      </c>
      <c r="M69" s="254">
        <f t="shared" si="1"/>
        <v>6236.7199999999993</v>
      </c>
    </row>
    <row r="70" spans="1:13" ht="17.100000000000001" customHeight="1" x14ac:dyDescent="0.25">
      <c r="A70" s="61" t="s">
        <v>352</v>
      </c>
      <c r="B70" s="275" t="s">
        <v>232</v>
      </c>
      <c r="C70" s="61" t="s">
        <v>203</v>
      </c>
      <c r="D70" s="337">
        <v>1</v>
      </c>
      <c r="E70" s="59">
        <v>12389.689759999997</v>
      </c>
      <c r="F70" s="276">
        <f t="shared" si="0"/>
        <v>12389.689759999997</v>
      </c>
      <c r="G70" s="357"/>
      <c r="H70" s="253">
        <v>6953</v>
      </c>
      <c r="I70" s="277">
        <v>1.4</v>
      </c>
      <c r="J70" s="372"/>
      <c r="K70" s="329">
        <v>9734.1999999999989</v>
      </c>
      <c r="L70" s="254">
        <v>1.2727999999999999</v>
      </c>
      <c r="M70" s="254">
        <f t="shared" si="1"/>
        <v>12389.689759999997</v>
      </c>
    </row>
    <row r="71" spans="1:13" ht="17.100000000000001" customHeight="1" x14ac:dyDescent="0.25">
      <c r="A71" s="61" t="s">
        <v>353</v>
      </c>
      <c r="B71" s="275" t="s">
        <v>233</v>
      </c>
      <c r="C71" s="61" t="s">
        <v>203</v>
      </c>
      <c r="D71" s="337">
        <v>1</v>
      </c>
      <c r="E71" s="59">
        <v>12389.689759999997</v>
      </c>
      <c r="F71" s="276">
        <f t="shared" si="0"/>
        <v>12389.689759999997</v>
      </c>
      <c r="G71" s="357"/>
      <c r="H71" s="253">
        <v>6953</v>
      </c>
      <c r="I71" s="277">
        <v>1.4</v>
      </c>
      <c r="J71" s="372"/>
      <c r="K71" s="329">
        <v>9734.1999999999989</v>
      </c>
      <c r="L71" s="254">
        <v>1.2727999999999999</v>
      </c>
      <c r="M71" s="254">
        <f t="shared" si="1"/>
        <v>12389.689759999997</v>
      </c>
    </row>
    <row r="72" spans="1:13" ht="17.100000000000001" customHeight="1" x14ac:dyDescent="0.25">
      <c r="A72" s="61" t="s">
        <v>354</v>
      </c>
      <c r="B72" s="275" t="s">
        <v>234</v>
      </c>
      <c r="C72" s="61" t="s">
        <v>203</v>
      </c>
      <c r="D72" s="337">
        <v>4</v>
      </c>
      <c r="E72" s="59">
        <v>4454.8</v>
      </c>
      <c r="F72" s="276">
        <f t="shared" si="0"/>
        <v>17819.2</v>
      </c>
      <c r="G72" s="357"/>
      <c r="H72" s="253">
        <v>2500</v>
      </c>
      <c r="I72" s="277">
        <v>1.4</v>
      </c>
      <c r="J72" s="372"/>
      <c r="K72" s="329">
        <v>3500</v>
      </c>
      <c r="L72" s="254">
        <v>1.2727999999999999</v>
      </c>
      <c r="M72" s="254">
        <f t="shared" si="1"/>
        <v>4454.8</v>
      </c>
    </row>
    <row r="73" spans="1:13" ht="17.100000000000001" customHeight="1" x14ac:dyDescent="0.25">
      <c r="A73" s="61" t="s">
        <v>355</v>
      </c>
      <c r="B73" s="275" t="s">
        <v>235</v>
      </c>
      <c r="C73" s="61" t="s">
        <v>203</v>
      </c>
      <c r="D73" s="337">
        <v>1</v>
      </c>
      <c r="E73" s="59">
        <v>220512.59999999998</v>
      </c>
      <c r="F73" s="276">
        <f t="shared" si="0"/>
        <v>220512.59999999998</v>
      </c>
      <c r="G73" s="357"/>
      <c r="H73" s="253">
        <v>123750</v>
      </c>
      <c r="I73" s="277">
        <v>1.4</v>
      </c>
      <c r="J73" s="372"/>
      <c r="K73" s="329">
        <v>173250</v>
      </c>
      <c r="L73" s="254">
        <v>1.2727999999999999</v>
      </c>
      <c r="M73" s="254">
        <f t="shared" si="1"/>
        <v>220512.59999999998</v>
      </c>
    </row>
    <row r="74" spans="1:13" ht="17.100000000000001" customHeight="1" x14ac:dyDescent="0.25">
      <c r="A74" s="61" t="s">
        <v>356</v>
      </c>
      <c r="B74" s="275" t="s">
        <v>357</v>
      </c>
      <c r="C74" s="61" t="s">
        <v>203</v>
      </c>
      <c r="D74" s="337">
        <v>2</v>
      </c>
      <c r="E74" s="59">
        <v>166010.79487999997</v>
      </c>
      <c r="F74" s="276">
        <f t="shared" si="0"/>
        <v>332021.58975999994</v>
      </c>
      <c r="G74" s="357"/>
      <c r="H74" s="253">
        <v>93164</v>
      </c>
      <c r="I74" s="277">
        <v>1.4</v>
      </c>
      <c r="J74" s="372"/>
      <c r="K74" s="329">
        <v>130429.59999999999</v>
      </c>
      <c r="L74" s="254">
        <v>1.2727999999999999</v>
      </c>
      <c r="M74" s="254">
        <f t="shared" si="1"/>
        <v>166010.79487999997</v>
      </c>
    </row>
    <row r="75" spans="1:13" ht="17.100000000000001" customHeight="1" x14ac:dyDescent="0.25">
      <c r="A75" s="61" t="s">
        <v>358</v>
      </c>
      <c r="B75" s="275" t="s">
        <v>237</v>
      </c>
      <c r="C75" s="61" t="s">
        <v>203</v>
      </c>
      <c r="D75" s="337">
        <v>6</v>
      </c>
      <c r="E75" s="59">
        <v>37673.352639999997</v>
      </c>
      <c r="F75" s="276">
        <f t="shared" si="0"/>
        <v>226040.11583999998</v>
      </c>
      <c r="G75" s="357"/>
      <c r="H75" s="253">
        <v>21142</v>
      </c>
      <c r="I75" s="277">
        <v>1.4</v>
      </c>
      <c r="J75" s="372"/>
      <c r="K75" s="329">
        <v>29598.799999999999</v>
      </c>
      <c r="L75" s="254">
        <v>1.2727999999999999</v>
      </c>
      <c r="M75" s="254">
        <f t="shared" si="1"/>
        <v>37673.352639999997</v>
      </c>
    </row>
    <row r="76" spans="1:13" ht="17.100000000000001" customHeight="1" x14ac:dyDescent="0.25">
      <c r="A76" s="61" t="s">
        <v>359</v>
      </c>
      <c r="B76" s="275" t="s">
        <v>238</v>
      </c>
      <c r="C76" s="61" t="s">
        <v>203</v>
      </c>
      <c r="D76" s="337">
        <v>2</v>
      </c>
      <c r="E76" s="59">
        <v>68195.860319999992</v>
      </c>
      <c r="F76" s="276">
        <f t="shared" si="0"/>
        <v>136391.72063999998</v>
      </c>
      <c r="G76" s="357"/>
      <c r="H76" s="253">
        <v>38271</v>
      </c>
      <c r="I76" s="277">
        <v>1.4</v>
      </c>
      <c r="J76" s="372"/>
      <c r="K76" s="329">
        <v>53579.399999999994</v>
      </c>
      <c r="L76" s="254">
        <v>1.2727999999999999</v>
      </c>
      <c r="M76" s="254">
        <f t="shared" si="1"/>
        <v>68195.860319999992</v>
      </c>
    </row>
    <row r="77" spans="1:13" ht="17.100000000000001" customHeight="1" x14ac:dyDescent="0.25">
      <c r="A77" s="61" t="s">
        <v>360</v>
      </c>
      <c r="B77" s="275" t="s">
        <v>239</v>
      </c>
      <c r="C77" s="61" t="s">
        <v>203</v>
      </c>
      <c r="D77" s="337">
        <v>2</v>
      </c>
      <c r="E77" s="59">
        <v>55909.521919999992</v>
      </c>
      <c r="F77" s="276">
        <f t="shared" si="0"/>
        <v>111819.04383999998</v>
      </c>
      <c r="G77" s="357"/>
      <c r="H77" s="253">
        <v>31376</v>
      </c>
      <c r="I77" s="277">
        <v>1.4</v>
      </c>
      <c r="J77" s="372"/>
      <c r="K77" s="329">
        <v>43926.399999999994</v>
      </c>
      <c r="L77" s="254">
        <v>1.2727999999999999</v>
      </c>
      <c r="M77" s="254">
        <f t="shared" si="1"/>
        <v>55909.521919999992</v>
      </c>
    </row>
    <row r="78" spans="1:13" ht="17.100000000000001" customHeight="1" x14ac:dyDescent="0.25">
      <c r="A78" s="61" t="s">
        <v>361</v>
      </c>
      <c r="B78" s="275" t="s">
        <v>240</v>
      </c>
      <c r="C78" s="61" t="s">
        <v>203</v>
      </c>
      <c r="D78" s="337">
        <v>2</v>
      </c>
      <c r="E78" s="59">
        <v>31272.696</v>
      </c>
      <c r="F78" s="276">
        <f t="shared" si="0"/>
        <v>62545.392</v>
      </c>
      <c r="G78" s="357"/>
      <c r="H78" s="253">
        <v>17550</v>
      </c>
      <c r="I78" s="277">
        <v>1.4</v>
      </c>
      <c r="J78" s="372"/>
      <c r="K78" s="329">
        <v>24570</v>
      </c>
      <c r="L78" s="254">
        <v>1.2727999999999999</v>
      </c>
      <c r="M78" s="254">
        <f t="shared" si="1"/>
        <v>31272.696</v>
      </c>
    </row>
    <row r="79" spans="1:13" ht="17.100000000000001" customHeight="1" x14ac:dyDescent="0.25">
      <c r="A79" s="61" t="s">
        <v>362</v>
      </c>
      <c r="B79" s="275" t="s">
        <v>363</v>
      </c>
      <c r="C79" s="61" t="s">
        <v>203</v>
      </c>
      <c r="D79" s="337">
        <v>2</v>
      </c>
      <c r="E79" s="59">
        <v>204432.55391999998</v>
      </c>
      <c r="F79" s="276">
        <f t="shared" si="0"/>
        <v>408865.10783999995</v>
      </c>
      <c r="G79" s="357"/>
      <c r="H79" s="253">
        <v>114726</v>
      </c>
      <c r="I79" s="277">
        <v>1.4</v>
      </c>
      <c r="J79" s="372"/>
      <c r="K79" s="329">
        <v>160616.4</v>
      </c>
      <c r="L79" s="254">
        <v>1.2727999999999999</v>
      </c>
      <c r="M79" s="254">
        <f t="shared" si="1"/>
        <v>204432.55391999998</v>
      </c>
    </row>
    <row r="80" spans="1:13" ht="17.100000000000001" customHeight="1" x14ac:dyDescent="0.25">
      <c r="A80" s="61" t="s">
        <v>364</v>
      </c>
      <c r="B80" s="275" t="s">
        <v>242</v>
      </c>
      <c r="C80" s="61" t="s">
        <v>205</v>
      </c>
      <c r="D80" s="337">
        <v>50</v>
      </c>
      <c r="E80" s="59">
        <v>7425.2606399999986</v>
      </c>
      <c r="F80" s="276">
        <f t="shared" si="0"/>
        <v>371263.03199999995</v>
      </c>
      <c r="G80" s="357"/>
      <c r="H80" s="253">
        <v>4167</v>
      </c>
      <c r="I80" s="277">
        <v>1.4</v>
      </c>
      <c r="J80" s="372"/>
      <c r="K80" s="329">
        <v>5833.7999999999993</v>
      </c>
      <c r="L80" s="254">
        <v>1.2727999999999999</v>
      </c>
      <c r="M80" s="254">
        <f t="shared" si="1"/>
        <v>7425.2606399999986</v>
      </c>
    </row>
    <row r="81" spans="1:13" ht="17.100000000000001" customHeight="1" x14ac:dyDescent="0.25">
      <c r="A81" s="61" t="s">
        <v>365</v>
      </c>
      <c r="B81" s="275" t="s">
        <v>243</v>
      </c>
      <c r="C81" s="61" t="s">
        <v>205</v>
      </c>
      <c r="D81" s="337">
        <v>20</v>
      </c>
      <c r="E81" s="59">
        <v>7425.2606399999986</v>
      </c>
      <c r="F81" s="276">
        <f t="shared" si="0"/>
        <v>148505.21279999998</v>
      </c>
      <c r="G81" s="357"/>
      <c r="H81" s="253">
        <v>4167</v>
      </c>
      <c r="I81" s="277">
        <v>1.4</v>
      </c>
      <c r="J81" s="372"/>
      <c r="K81" s="329">
        <v>5833.7999999999993</v>
      </c>
      <c r="L81" s="254">
        <v>1.2727999999999999</v>
      </c>
      <c r="M81" s="254">
        <f t="shared" si="1"/>
        <v>7425.2606399999986</v>
      </c>
    </row>
    <row r="82" spans="1:13" ht="17.100000000000001" customHeight="1" x14ac:dyDescent="0.25">
      <c r="A82" s="61" t="s">
        <v>366</v>
      </c>
      <c r="B82" s="275" t="s">
        <v>244</v>
      </c>
      <c r="C82" s="61" t="s">
        <v>205</v>
      </c>
      <c r="D82" s="337">
        <v>50</v>
      </c>
      <c r="E82" s="59">
        <v>6316.9063999999998</v>
      </c>
      <c r="F82" s="276">
        <f t="shared" si="0"/>
        <v>315845.32</v>
      </c>
      <c r="G82" s="357"/>
      <c r="H82" s="253">
        <v>3545</v>
      </c>
      <c r="I82" s="277">
        <v>1.4</v>
      </c>
      <c r="J82" s="372"/>
      <c r="K82" s="329">
        <v>4963</v>
      </c>
      <c r="L82" s="254">
        <v>1.2727999999999999</v>
      </c>
      <c r="M82" s="254">
        <f t="shared" si="1"/>
        <v>6316.9063999999998</v>
      </c>
    </row>
    <row r="83" spans="1:13" ht="17.100000000000001" customHeight="1" x14ac:dyDescent="0.25">
      <c r="A83" s="61" t="s">
        <v>367</v>
      </c>
      <c r="B83" s="275" t="s">
        <v>494</v>
      </c>
      <c r="C83" s="61" t="s">
        <v>205</v>
      </c>
      <c r="D83" s="337">
        <v>15</v>
      </c>
      <c r="E83" s="59">
        <v>6013.98</v>
      </c>
      <c r="F83" s="276">
        <f t="shared" si="0"/>
        <v>90209.7</v>
      </c>
      <c r="G83" s="357"/>
      <c r="H83" s="253">
        <v>3375</v>
      </c>
      <c r="I83" s="277">
        <v>1.4</v>
      </c>
      <c r="J83" s="372"/>
      <c r="K83" s="329">
        <v>4725</v>
      </c>
      <c r="L83" s="254">
        <v>1.2727999999999999</v>
      </c>
      <c r="M83" s="254">
        <f t="shared" ref="M83:M146" si="5">+K83*L83</f>
        <v>6013.98</v>
      </c>
    </row>
    <row r="84" spans="1:13" ht="17.100000000000001" customHeight="1" x14ac:dyDescent="0.25">
      <c r="A84" s="61" t="s">
        <v>368</v>
      </c>
      <c r="B84" s="275" t="s">
        <v>495</v>
      </c>
      <c r="C84" s="61" t="s">
        <v>205</v>
      </c>
      <c r="D84" s="337">
        <v>15</v>
      </c>
      <c r="E84" s="59">
        <v>946.19951999999989</v>
      </c>
      <c r="F84" s="276">
        <f t="shared" si="0"/>
        <v>14192.992799999998</v>
      </c>
      <c r="G84" s="357"/>
      <c r="H84" s="253">
        <v>531</v>
      </c>
      <c r="I84" s="277">
        <v>1.4</v>
      </c>
      <c r="J84" s="372"/>
      <c r="K84" s="329">
        <v>743.4</v>
      </c>
      <c r="L84" s="254">
        <v>1.2727999999999999</v>
      </c>
      <c r="M84" s="254">
        <f t="shared" si="5"/>
        <v>946.19951999999989</v>
      </c>
    </row>
    <row r="85" spans="1:13" ht="17.100000000000001" customHeight="1" x14ac:dyDescent="0.25">
      <c r="A85" s="61" t="s">
        <v>369</v>
      </c>
      <c r="B85" s="275" t="s">
        <v>496</v>
      </c>
      <c r="C85" s="61" t="s">
        <v>205</v>
      </c>
      <c r="D85" s="337">
        <v>10</v>
      </c>
      <c r="E85" s="59">
        <v>946.19951999999989</v>
      </c>
      <c r="F85" s="276">
        <f t="shared" si="0"/>
        <v>9461.9951999999994</v>
      </c>
      <c r="G85" s="357"/>
      <c r="H85" s="253">
        <v>531</v>
      </c>
      <c r="I85" s="277">
        <v>1.4</v>
      </c>
      <c r="J85" s="372"/>
      <c r="K85" s="329">
        <v>743.4</v>
      </c>
      <c r="L85" s="254">
        <v>1.2727999999999999</v>
      </c>
      <c r="M85" s="254">
        <f t="shared" si="5"/>
        <v>946.19951999999989</v>
      </c>
    </row>
    <row r="86" spans="1:13" ht="17.100000000000001" customHeight="1" x14ac:dyDescent="0.25">
      <c r="A86" s="61" t="s">
        <v>370</v>
      </c>
      <c r="B86" s="275" t="s">
        <v>248</v>
      </c>
      <c r="C86" s="61" t="s">
        <v>205</v>
      </c>
      <c r="D86" s="337">
        <v>1</v>
      </c>
      <c r="E86" s="59">
        <v>3066.6843199999994</v>
      </c>
      <c r="F86" s="276">
        <f t="shared" ref="F86:F154" si="6">+E86*D86</f>
        <v>3066.6843199999994</v>
      </c>
      <c r="G86" s="357"/>
      <c r="H86" s="253">
        <v>1721</v>
      </c>
      <c r="I86" s="277">
        <v>1.4</v>
      </c>
      <c r="J86" s="372"/>
      <c r="K86" s="329">
        <v>2409.3999999999996</v>
      </c>
      <c r="L86" s="254">
        <v>1.2727999999999999</v>
      </c>
      <c r="M86" s="254">
        <f t="shared" si="5"/>
        <v>3066.6843199999994</v>
      </c>
    </row>
    <row r="87" spans="1:13" ht="17.100000000000001" customHeight="1" x14ac:dyDescent="0.25">
      <c r="A87" s="61" t="s">
        <v>371</v>
      </c>
      <c r="B87" s="275" t="s">
        <v>497</v>
      </c>
      <c r="C87" s="61" t="s">
        <v>203</v>
      </c>
      <c r="D87" s="337">
        <v>200</v>
      </c>
      <c r="E87" s="59">
        <v>169.2824</v>
      </c>
      <c r="F87" s="276">
        <f t="shared" si="6"/>
        <v>33856.479999999996</v>
      </c>
      <c r="G87" s="357"/>
      <c r="H87" s="253">
        <v>95</v>
      </c>
      <c r="I87" s="277">
        <v>1.4</v>
      </c>
      <c r="J87" s="372"/>
      <c r="K87" s="329">
        <v>133</v>
      </c>
      <c r="L87" s="254">
        <v>1.2727999999999999</v>
      </c>
      <c r="M87" s="254">
        <f t="shared" si="5"/>
        <v>169.2824</v>
      </c>
    </row>
    <row r="88" spans="1:13" ht="17.100000000000001" customHeight="1" x14ac:dyDescent="0.25">
      <c r="A88" s="61" t="s">
        <v>372</v>
      </c>
      <c r="B88" s="275" t="s">
        <v>250</v>
      </c>
      <c r="C88" s="61" t="s">
        <v>203</v>
      </c>
      <c r="D88" s="337">
        <v>200</v>
      </c>
      <c r="E88" s="59">
        <v>147.89935999999997</v>
      </c>
      <c r="F88" s="276">
        <f t="shared" si="6"/>
        <v>29579.871999999996</v>
      </c>
      <c r="G88" s="357"/>
      <c r="H88" s="253">
        <v>83</v>
      </c>
      <c r="I88" s="277">
        <v>1.4</v>
      </c>
      <c r="J88" s="372"/>
      <c r="K88" s="329">
        <v>116.19999999999999</v>
      </c>
      <c r="L88" s="254">
        <v>1.2727999999999999</v>
      </c>
      <c r="M88" s="254">
        <f t="shared" si="5"/>
        <v>147.89935999999997</v>
      </c>
    </row>
    <row r="89" spans="1:13" ht="17.100000000000001" customHeight="1" x14ac:dyDescent="0.25">
      <c r="A89" s="61" t="s">
        <v>373</v>
      </c>
      <c r="B89" s="275" t="s">
        <v>251</v>
      </c>
      <c r="C89" s="61" t="s">
        <v>203</v>
      </c>
      <c r="D89" s="337">
        <v>25</v>
      </c>
      <c r="E89" s="59">
        <v>80.186399999999992</v>
      </c>
      <c r="F89" s="276">
        <f t="shared" si="6"/>
        <v>2004.6599999999999</v>
      </c>
      <c r="G89" s="357"/>
      <c r="H89" s="253">
        <v>45</v>
      </c>
      <c r="I89" s="277">
        <v>1.4</v>
      </c>
      <c r="J89" s="372"/>
      <c r="K89" s="329">
        <v>62.999999999999993</v>
      </c>
      <c r="L89" s="254">
        <v>1.2727999999999999</v>
      </c>
      <c r="M89" s="254">
        <f t="shared" si="5"/>
        <v>80.186399999999992</v>
      </c>
    </row>
    <row r="90" spans="1:13" ht="17.100000000000001" customHeight="1" x14ac:dyDescent="0.25">
      <c r="A90" s="61" t="s">
        <v>374</v>
      </c>
      <c r="B90" s="275" t="s">
        <v>252</v>
      </c>
      <c r="C90" s="61" t="s">
        <v>203</v>
      </c>
      <c r="D90" s="337">
        <v>100</v>
      </c>
      <c r="E90" s="59">
        <v>67.712959999999995</v>
      </c>
      <c r="F90" s="276">
        <f t="shared" si="6"/>
        <v>6771.2959999999994</v>
      </c>
      <c r="G90" s="357"/>
      <c r="H90" s="253">
        <v>38</v>
      </c>
      <c r="I90" s="277">
        <v>1.4</v>
      </c>
      <c r="J90" s="372"/>
      <c r="K90" s="329">
        <v>53.199999999999996</v>
      </c>
      <c r="L90" s="254">
        <v>1.2727999999999999</v>
      </c>
      <c r="M90" s="254">
        <f t="shared" si="5"/>
        <v>67.712959999999995</v>
      </c>
    </row>
    <row r="91" spans="1:13" ht="17.100000000000001" customHeight="1" x14ac:dyDescent="0.25">
      <c r="A91" s="61" t="s">
        <v>375</v>
      </c>
      <c r="B91" s="275" t="s">
        <v>498</v>
      </c>
      <c r="C91" s="61" t="s">
        <v>203</v>
      </c>
      <c r="D91" s="337">
        <v>10</v>
      </c>
      <c r="E91" s="59">
        <v>20160.642879999996</v>
      </c>
      <c r="F91" s="276">
        <f t="shared" si="6"/>
        <v>201606.42879999997</v>
      </c>
      <c r="G91" s="357"/>
      <c r="H91" s="253">
        <v>11314</v>
      </c>
      <c r="I91" s="277">
        <v>1.4</v>
      </c>
      <c r="J91" s="372"/>
      <c r="K91" s="329">
        <v>15839.599999999999</v>
      </c>
      <c r="L91" s="254">
        <v>1.2727999999999999</v>
      </c>
      <c r="M91" s="254">
        <f t="shared" si="5"/>
        <v>20160.642879999996</v>
      </c>
    </row>
    <row r="92" spans="1:13" ht="17.100000000000001" customHeight="1" x14ac:dyDescent="0.25">
      <c r="A92" s="61" t="s">
        <v>376</v>
      </c>
      <c r="B92" s="275" t="s">
        <v>254</v>
      </c>
      <c r="C92" s="61" t="s">
        <v>203</v>
      </c>
      <c r="D92" s="337">
        <v>35</v>
      </c>
      <c r="E92" s="59">
        <v>4410.2519999999995</v>
      </c>
      <c r="F92" s="276">
        <f t="shared" si="6"/>
        <v>154358.81999999998</v>
      </c>
      <c r="G92" s="357"/>
      <c r="H92" s="253">
        <v>2475</v>
      </c>
      <c r="I92" s="277">
        <v>1.4</v>
      </c>
      <c r="J92" s="372"/>
      <c r="K92" s="329">
        <v>3465</v>
      </c>
      <c r="L92" s="254">
        <v>1.2727999999999999</v>
      </c>
      <c r="M92" s="254">
        <f t="shared" si="5"/>
        <v>4410.2519999999995</v>
      </c>
    </row>
    <row r="93" spans="1:13" ht="17.100000000000001" customHeight="1" x14ac:dyDescent="0.25">
      <c r="A93" s="61" t="s">
        <v>377</v>
      </c>
      <c r="B93" s="275" t="s">
        <v>255</v>
      </c>
      <c r="C93" s="61" t="s">
        <v>203</v>
      </c>
      <c r="D93" s="337">
        <v>1</v>
      </c>
      <c r="E93" s="59">
        <v>34747.439999999995</v>
      </c>
      <c r="F93" s="276">
        <f t="shared" si="6"/>
        <v>34747.439999999995</v>
      </c>
      <c r="G93" s="357"/>
      <c r="H93" s="253">
        <v>19500</v>
      </c>
      <c r="I93" s="277">
        <v>1.4</v>
      </c>
      <c r="J93" s="372"/>
      <c r="K93" s="329">
        <v>27300</v>
      </c>
      <c r="L93" s="254">
        <v>1.2727999999999999</v>
      </c>
      <c r="M93" s="254">
        <f t="shared" si="5"/>
        <v>34747.439999999995</v>
      </c>
    </row>
    <row r="94" spans="1:13" ht="17.100000000000001" customHeight="1" x14ac:dyDescent="0.25">
      <c r="A94" s="61" t="s">
        <v>378</v>
      </c>
      <c r="B94" s="275" t="s">
        <v>256</v>
      </c>
      <c r="C94" s="61" t="s">
        <v>257</v>
      </c>
      <c r="D94" s="337">
        <v>2</v>
      </c>
      <c r="E94" s="59">
        <v>11849.768</v>
      </c>
      <c r="F94" s="276">
        <f t="shared" si="6"/>
        <v>23699.536</v>
      </c>
      <c r="G94" s="357"/>
      <c r="H94" s="253">
        <v>6650</v>
      </c>
      <c r="I94" s="277">
        <v>1.4</v>
      </c>
      <c r="J94" s="372"/>
      <c r="K94" s="329">
        <v>9310</v>
      </c>
      <c r="L94" s="254">
        <v>1.2727999999999999</v>
      </c>
      <c r="M94" s="254">
        <f t="shared" si="5"/>
        <v>11849.768</v>
      </c>
    </row>
    <row r="95" spans="1:13" ht="17.100000000000001" customHeight="1" x14ac:dyDescent="0.25">
      <c r="A95" s="61" t="s">
        <v>379</v>
      </c>
      <c r="B95" s="275" t="s">
        <v>258</v>
      </c>
      <c r="C95" s="61" t="s">
        <v>257</v>
      </c>
      <c r="D95" s="337">
        <v>2</v>
      </c>
      <c r="E95" s="59">
        <v>6165.4431999999997</v>
      </c>
      <c r="F95" s="276">
        <f t="shared" si="6"/>
        <v>12330.886399999999</v>
      </c>
      <c r="G95" s="357"/>
      <c r="H95" s="253">
        <v>3460</v>
      </c>
      <c r="I95" s="277">
        <v>1.4</v>
      </c>
      <c r="J95" s="372"/>
      <c r="K95" s="329">
        <v>4844</v>
      </c>
      <c r="L95" s="254">
        <v>1.2727999999999999</v>
      </c>
      <c r="M95" s="254">
        <f t="shared" si="5"/>
        <v>6165.4431999999997</v>
      </c>
    </row>
    <row r="96" spans="1:13" ht="17.100000000000001" customHeight="1" x14ac:dyDescent="0.25">
      <c r="A96" s="61" t="s">
        <v>380</v>
      </c>
      <c r="B96" s="275" t="s">
        <v>259</v>
      </c>
      <c r="C96" s="61" t="s">
        <v>203</v>
      </c>
      <c r="D96" s="337">
        <v>100</v>
      </c>
      <c r="E96" s="59">
        <v>801.86399999999992</v>
      </c>
      <c r="F96" s="276">
        <f t="shared" si="6"/>
        <v>80186.399999999994</v>
      </c>
      <c r="G96" s="357"/>
      <c r="H96" s="253">
        <v>450</v>
      </c>
      <c r="I96" s="277">
        <v>1.4</v>
      </c>
      <c r="J96" s="372"/>
      <c r="K96" s="329">
        <v>630</v>
      </c>
      <c r="L96" s="254">
        <v>1.2727999999999999</v>
      </c>
      <c r="M96" s="254">
        <f t="shared" si="5"/>
        <v>801.86399999999992</v>
      </c>
    </row>
    <row r="97" spans="1:13" ht="17.100000000000001" customHeight="1" x14ac:dyDescent="0.25">
      <c r="A97" s="61" t="s">
        <v>381</v>
      </c>
      <c r="B97" s="275" t="s">
        <v>499</v>
      </c>
      <c r="C97" s="61" t="s">
        <v>204</v>
      </c>
      <c r="D97" s="337">
        <v>1</v>
      </c>
      <c r="E97" s="59">
        <v>445480</v>
      </c>
      <c r="F97" s="276">
        <f t="shared" si="6"/>
        <v>445480</v>
      </c>
      <c r="G97" s="357"/>
      <c r="H97" s="253">
        <v>250000</v>
      </c>
      <c r="I97" s="277">
        <v>1.4</v>
      </c>
      <c r="J97" s="372"/>
      <c r="K97" s="329">
        <v>350000</v>
      </c>
      <c r="L97" s="254">
        <v>1.2727999999999999</v>
      </c>
      <c r="M97" s="254">
        <f t="shared" si="5"/>
        <v>445480</v>
      </c>
    </row>
    <row r="98" spans="1:13" ht="17.100000000000001" customHeight="1" x14ac:dyDescent="0.25">
      <c r="A98" s="61"/>
      <c r="B98" s="275"/>
      <c r="C98" s="61"/>
      <c r="D98" s="337"/>
      <c r="E98" s="59">
        <v>0</v>
      </c>
      <c r="F98" s="278"/>
      <c r="G98" s="358"/>
      <c r="I98" s="277"/>
      <c r="J98" s="372"/>
      <c r="K98" s="329">
        <v>0</v>
      </c>
      <c r="L98" s="254">
        <v>1.2727999999999999</v>
      </c>
      <c r="M98" s="254">
        <f t="shared" si="5"/>
        <v>0</v>
      </c>
    </row>
    <row r="99" spans="1:13" s="272" customFormat="1" ht="17.100000000000001" customHeight="1" x14ac:dyDescent="0.25">
      <c r="A99" s="267" t="s">
        <v>382</v>
      </c>
      <c r="B99" s="273" t="s">
        <v>500</v>
      </c>
      <c r="C99" s="267"/>
      <c r="D99" s="336"/>
      <c r="E99" s="59">
        <v>0</v>
      </c>
      <c r="F99" s="276"/>
      <c r="G99" s="357"/>
      <c r="H99" s="274"/>
      <c r="I99" s="277"/>
      <c r="J99" s="372"/>
      <c r="K99" s="376">
        <v>0</v>
      </c>
      <c r="L99" s="254">
        <v>1.2727999999999999</v>
      </c>
      <c r="M99" s="254">
        <f t="shared" si="5"/>
        <v>0</v>
      </c>
    </row>
    <row r="100" spans="1:13" ht="17.100000000000001" customHeight="1" x14ac:dyDescent="0.25">
      <c r="A100" s="61" t="s">
        <v>289</v>
      </c>
      <c r="B100" s="275" t="s">
        <v>290</v>
      </c>
      <c r="C100" s="61" t="s">
        <v>205</v>
      </c>
      <c r="D100" s="338">
        <v>8000</v>
      </c>
      <c r="E100" s="59">
        <v>12208</v>
      </c>
      <c r="F100" s="353">
        <f>+E100*D100</f>
        <v>97664000</v>
      </c>
      <c r="G100" s="359"/>
      <c r="H100" s="253">
        <v>5825</v>
      </c>
      <c r="I100" s="277">
        <v>1.4</v>
      </c>
      <c r="J100" s="372"/>
      <c r="K100" s="329">
        <v>8154.9999999999991</v>
      </c>
      <c r="L100" s="254">
        <v>1.2727999999999999</v>
      </c>
      <c r="M100" s="254">
        <f t="shared" si="5"/>
        <v>10379.683999999997</v>
      </c>
    </row>
    <row r="101" spans="1:13" ht="17.100000000000001" customHeight="1" x14ac:dyDescent="0.25">
      <c r="A101" s="61" t="s">
        <v>384</v>
      </c>
      <c r="B101" s="275" t="s">
        <v>292</v>
      </c>
      <c r="C101" s="61" t="s">
        <v>205</v>
      </c>
      <c r="D101" s="337">
        <v>8000</v>
      </c>
      <c r="E101" s="59">
        <v>4410.2519999999995</v>
      </c>
      <c r="F101" s="276">
        <f t="shared" si="6"/>
        <v>35282015.999999993</v>
      </c>
      <c r="G101" s="357"/>
      <c r="H101" s="253">
        <v>2475</v>
      </c>
      <c r="I101" s="277">
        <v>1.4</v>
      </c>
      <c r="J101" s="372"/>
      <c r="K101" s="329">
        <v>3465</v>
      </c>
      <c r="L101" s="254">
        <v>1.2727999999999999</v>
      </c>
      <c r="M101" s="254">
        <f t="shared" si="5"/>
        <v>4410.2519999999995</v>
      </c>
    </row>
    <row r="102" spans="1:13" ht="17.100000000000001" customHeight="1" x14ac:dyDescent="0.25">
      <c r="A102" s="61" t="s">
        <v>385</v>
      </c>
      <c r="B102" s="275" t="s">
        <v>294</v>
      </c>
      <c r="C102" s="61" t="s">
        <v>205</v>
      </c>
      <c r="D102" s="337">
        <v>2000</v>
      </c>
      <c r="E102" s="59">
        <v>1719.5527999999999</v>
      </c>
      <c r="F102" s="276">
        <f t="shared" si="6"/>
        <v>3439105.6</v>
      </c>
      <c r="G102" s="357"/>
      <c r="H102" s="253">
        <v>965</v>
      </c>
      <c r="I102" s="277">
        <v>1.4</v>
      </c>
      <c r="J102" s="372"/>
      <c r="K102" s="329">
        <v>1351</v>
      </c>
      <c r="L102" s="254">
        <v>1.2727999999999999</v>
      </c>
      <c r="M102" s="254">
        <f t="shared" si="5"/>
        <v>1719.5527999999999</v>
      </c>
    </row>
    <row r="103" spans="1:13" ht="17.100000000000001" customHeight="1" x14ac:dyDescent="0.25">
      <c r="A103" s="61" t="s">
        <v>386</v>
      </c>
      <c r="B103" s="275" t="s">
        <v>296</v>
      </c>
      <c r="C103" s="61" t="s">
        <v>203</v>
      </c>
      <c r="D103" s="337">
        <v>700</v>
      </c>
      <c r="E103" s="59">
        <v>4632.9919999999993</v>
      </c>
      <c r="F103" s="276">
        <f t="shared" si="6"/>
        <v>3243094.3999999994</v>
      </c>
      <c r="G103" s="357"/>
      <c r="H103" s="253">
        <v>2600</v>
      </c>
      <c r="I103" s="277">
        <v>1.4</v>
      </c>
      <c r="J103" s="372"/>
      <c r="K103" s="329">
        <v>3639.9999999999995</v>
      </c>
      <c r="L103" s="254">
        <v>1.2727999999999999</v>
      </c>
      <c r="M103" s="254">
        <f t="shared" si="5"/>
        <v>4632.9919999999993</v>
      </c>
    </row>
    <row r="104" spans="1:13" ht="17.100000000000001" customHeight="1" x14ac:dyDescent="0.25">
      <c r="A104" s="61" t="s">
        <v>387</v>
      </c>
      <c r="B104" s="275" t="s">
        <v>298</v>
      </c>
      <c r="C104" s="61" t="s">
        <v>203</v>
      </c>
      <c r="D104" s="337">
        <v>700</v>
      </c>
      <c r="E104" s="59">
        <v>7243.5047999999997</v>
      </c>
      <c r="F104" s="276">
        <f t="shared" si="6"/>
        <v>5070453.3599999994</v>
      </c>
      <c r="G104" s="357"/>
      <c r="H104" s="253">
        <v>4065</v>
      </c>
      <c r="I104" s="277">
        <v>1.4</v>
      </c>
      <c r="J104" s="372"/>
      <c r="K104" s="329">
        <v>5691</v>
      </c>
      <c r="L104" s="254">
        <v>1.2727999999999999</v>
      </c>
      <c r="M104" s="254">
        <f t="shared" si="5"/>
        <v>7243.5047999999997</v>
      </c>
    </row>
    <row r="105" spans="1:13" ht="17.100000000000001" customHeight="1" x14ac:dyDescent="0.25">
      <c r="A105" s="61" t="s">
        <v>388</v>
      </c>
      <c r="B105" s="275" t="s">
        <v>218</v>
      </c>
      <c r="C105" s="61" t="s">
        <v>205</v>
      </c>
      <c r="D105" s="337">
        <v>16000</v>
      </c>
      <c r="E105" s="59">
        <v>2672.8799999999997</v>
      </c>
      <c r="F105" s="276">
        <f t="shared" si="6"/>
        <v>42766079.999999993</v>
      </c>
      <c r="G105" s="357"/>
      <c r="H105" s="253">
        <v>1500</v>
      </c>
      <c r="I105" s="277">
        <v>1.4</v>
      </c>
      <c r="J105" s="372"/>
      <c r="K105" s="329">
        <v>2100</v>
      </c>
      <c r="L105" s="254">
        <v>1.2727999999999999</v>
      </c>
      <c r="M105" s="254">
        <f t="shared" si="5"/>
        <v>2672.8799999999997</v>
      </c>
    </row>
    <row r="106" spans="1:13" ht="17.100000000000001" customHeight="1" x14ac:dyDescent="0.25">
      <c r="A106" s="61" t="s">
        <v>389</v>
      </c>
      <c r="B106" s="275" t="s">
        <v>202</v>
      </c>
      <c r="C106" s="61" t="s">
        <v>205</v>
      </c>
      <c r="D106" s="337">
        <v>8000</v>
      </c>
      <c r="E106" s="59">
        <v>258.3784</v>
      </c>
      <c r="F106" s="276">
        <f t="shared" si="6"/>
        <v>2067027.2</v>
      </c>
      <c r="G106" s="357"/>
      <c r="H106" s="253">
        <v>145</v>
      </c>
      <c r="I106" s="277">
        <v>1.4</v>
      </c>
      <c r="J106" s="372"/>
      <c r="K106" s="329">
        <v>203</v>
      </c>
      <c r="L106" s="254">
        <v>1.2727999999999999</v>
      </c>
      <c r="M106" s="254">
        <f t="shared" si="5"/>
        <v>258.3784</v>
      </c>
    </row>
    <row r="107" spans="1:13" ht="17.100000000000001" customHeight="1" x14ac:dyDescent="0.25">
      <c r="A107" s="61" t="s">
        <v>390</v>
      </c>
      <c r="B107" s="275" t="s">
        <v>484</v>
      </c>
      <c r="C107" s="61" t="s">
        <v>203</v>
      </c>
      <c r="D107" s="337">
        <v>128</v>
      </c>
      <c r="E107" s="59">
        <v>15146.32</v>
      </c>
      <c r="F107" s="276">
        <f t="shared" si="6"/>
        <v>1938728.96</v>
      </c>
      <c r="G107" s="357"/>
      <c r="H107" s="253">
        <v>8500</v>
      </c>
      <c r="I107" s="277">
        <v>1.4</v>
      </c>
      <c r="J107" s="372"/>
      <c r="K107" s="329">
        <v>11900</v>
      </c>
      <c r="L107" s="254">
        <v>1.2727999999999999</v>
      </c>
      <c r="M107" s="254">
        <f t="shared" si="5"/>
        <v>15146.32</v>
      </c>
    </row>
    <row r="108" spans="1:13" ht="17.100000000000001" customHeight="1" x14ac:dyDescent="0.25">
      <c r="A108" s="61" t="s">
        <v>391</v>
      </c>
      <c r="B108" s="275" t="s">
        <v>485</v>
      </c>
      <c r="C108" s="61" t="s">
        <v>203</v>
      </c>
      <c r="D108" s="337">
        <v>128</v>
      </c>
      <c r="E108" s="59">
        <v>5078.4719999999988</v>
      </c>
      <c r="F108" s="276">
        <f t="shared" si="6"/>
        <v>650044.41599999985</v>
      </c>
      <c r="G108" s="357"/>
      <c r="H108" s="253">
        <v>2850</v>
      </c>
      <c r="I108" s="277">
        <v>1.4</v>
      </c>
      <c r="J108" s="372"/>
      <c r="K108" s="329">
        <v>3989.9999999999995</v>
      </c>
      <c r="L108" s="254">
        <v>1.2727999999999999</v>
      </c>
      <c r="M108" s="254">
        <f t="shared" si="5"/>
        <v>5078.4719999999988</v>
      </c>
    </row>
    <row r="109" spans="1:13" ht="17.100000000000001" customHeight="1" x14ac:dyDescent="0.25">
      <c r="A109" s="61" t="s">
        <v>392</v>
      </c>
      <c r="B109" s="275" t="s">
        <v>486</v>
      </c>
      <c r="C109" s="61" t="s">
        <v>203</v>
      </c>
      <c r="D109" s="337">
        <v>128</v>
      </c>
      <c r="E109" s="59">
        <v>26728.799999999999</v>
      </c>
      <c r="F109" s="278">
        <f t="shared" ref="F109:F114" si="7">+D109*E109</f>
        <v>3421286.3999999999</v>
      </c>
      <c r="G109" s="358"/>
      <c r="H109" s="253">
        <v>15000</v>
      </c>
      <c r="I109" s="277">
        <v>1.4</v>
      </c>
      <c r="J109" s="372"/>
      <c r="K109" s="329">
        <v>21000</v>
      </c>
      <c r="L109" s="254">
        <v>1.2727999999999999</v>
      </c>
      <c r="M109" s="254">
        <f t="shared" si="5"/>
        <v>26728.799999999999</v>
      </c>
    </row>
    <row r="110" spans="1:13" ht="17.100000000000001" customHeight="1" x14ac:dyDescent="0.25">
      <c r="A110" s="61" t="s">
        <v>393</v>
      </c>
      <c r="B110" s="275" t="s">
        <v>222</v>
      </c>
      <c r="C110" s="61" t="s">
        <v>205</v>
      </c>
      <c r="D110" s="337">
        <v>2500</v>
      </c>
      <c r="E110" s="59">
        <v>22274</v>
      </c>
      <c r="F110" s="278">
        <f t="shared" si="7"/>
        <v>55685000</v>
      </c>
      <c r="G110" s="358"/>
      <c r="H110" s="253">
        <v>12500</v>
      </c>
      <c r="I110" s="277">
        <v>1.4</v>
      </c>
      <c r="J110" s="372"/>
      <c r="K110" s="329">
        <v>17500</v>
      </c>
      <c r="L110" s="254">
        <v>1.2727999999999999</v>
      </c>
      <c r="M110" s="254">
        <f t="shared" si="5"/>
        <v>22274</v>
      </c>
    </row>
    <row r="111" spans="1:13" ht="17.100000000000001" customHeight="1" x14ac:dyDescent="0.25">
      <c r="A111" s="61" t="s">
        <v>394</v>
      </c>
      <c r="B111" s="275" t="s">
        <v>223</v>
      </c>
      <c r="C111" s="61" t="s">
        <v>205</v>
      </c>
      <c r="D111" s="337">
        <v>5000</v>
      </c>
      <c r="E111" s="59">
        <v>4454.8</v>
      </c>
      <c r="F111" s="278">
        <f t="shared" si="7"/>
        <v>22274000</v>
      </c>
      <c r="G111" s="358"/>
      <c r="H111" s="253">
        <v>1500</v>
      </c>
      <c r="I111" s="277">
        <v>1.4</v>
      </c>
      <c r="J111" s="372"/>
      <c r="K111" s="329">
        <v>3500</v>
      </c>
      <c r="L111" s="254">
        <v>1.2727999999999999</v>
      </c>
      <c r="M111" s="254">
        <f t="shared" si="5"/>
        <v>4454.8</v>
      </c>
    </row>
    <row r="112" spans="1:13" ht="17.100000000000001" customHeight="1" x14ac:dyDescent="0.25">
      <c r="A112" s="61" t="s">
        <v>395</v>
      </c>
      <c r="B112" s="275" t="s">
        <v>275</v>
      </c>
      <c r="C112" s="61" t="s">
        <v>205</v>
      </c>
      <c r="D112" s="337">
        <v>100</v>
      </c>
      <c r="E112" s="59">
        <v>35638.400000000001</v>
      </c>
      <c r="F112" s="278">
        <f t="shared" si="7"/>
        <v>3563840</v>
      </c>
      <c r="G112" s="358"/>
      <c r="H112" s="253">
        <v>20000</v>
      </c>
      <c r="I112" s="277">
        <v>1.4</v>
      </c>
      <c r="J112" s="372"/>
      <c r="K112" s="329">
        <v>28000</v>
      </c>
      <c r="L112" s="254">
        <v>1.2727999999999999</v>
      </c>
      <c r="M112" s="254">
        <f t="shared" si="5"/>
        <v>35638.400000000001</v>
      </c>
    </row>
    <row r="113" spans="1:13" ht="17.100000000000001" customHeight="1" x14ac:dyDescent="0.25">
      <c r="A113" s="61" t="s">
        <v>396</v>
      </c>
      <c r="B113" s="275" t="s">
        <v>276</v>
      </c>
      <c r="C113" s="61" t="s">
        <v>205</v>
      </c>
      <c r="D113" s="337">
        <v>200</v>
      </c>
      <c r="E113" s="59">
        <v>26728.799999999999</v>
      </c>
      <c r="F113" s="278">
        <f t="shared" si="7"/>
        <v>5345760</v>
      </c>
      <c r="G113" s="358"/>
      <c r="H113" s="253">
        <v>15000</v>
      </c>
      <c r="I113" s="277">
        <v>1.4</v>
      </c>
      <c r="J113" s="372"/>
      <c r="K113" s="329">
        <v>21000</v>
      </c>
      <c r="L113" s="254">
        <v>1.2727999999999999</v>
      </c>
      <c r="M113" s="254">
        <f t="shared" si="5"/>
        <v>26728.799999999999</v>
      </c>
    </row>
    <row r="114" spans="1:13" ht="17.100000000000001" customHeight="1" x14ac:dyDescent="0.25">
      <c r="A114" s="61" t="s">
        <v>397</v>
      </c>
      <c r="B114" s="275" t="s">
        <v>311</v>
      </c>
      <c r="C114" s="61" t="s">
        <v>203</v>
      </c>
      <c r="D114" s="337">
        <v>128</v>
      </c>
      <c r="E114" s="59">
        <v>44548</v>
      </c>
      <c r="F114" s="278">
        <f t="shared" si="7"/>
        <v>5702144</v>
      </c>
      <c r="G114" s="358"/>
      <c r="H114" s="253">
        <v>25000</v>
      </c>
      <c r="I114" s="277">
        <v>1.4</v>
      </c>
      <c r="J114" s="372"/>
      <c r="K114" s="329">
        <v>35000</v>
      </c>
      <c r="L114" s="254">
        <v>1.2727999999999999</v>
      </c>
      <c r="M114" s="254">
        <f t="shared" si="5"/>
        <v>44548</v>
      </c>
    </row>
    <row r="115" spans="1:13" ht="17.100000000000001" customHeight="1" x14ac:dyDescent="0.25">
      <c r="A115" s="61"/>
      <c r="B115" s="275"/>
      <c r="C115" s="61"/>
      <c r="D115" s="337"/>
      <c r="E115" s="59">
        <v>0</v>
      </c>
      <c r="F115" s="278"/>
      <c r="G115" s="358"/>
      <c r="I115" s="277"/>
      <c r="J115" s="372"/>
      <c r="K115" s="329">
        <v>0</v>
      </c>
      <c r="L115" s="254">
        <v>1.2727999999999999</v>
      </c>
      <c r="M115" s="254">
        <f t="shared" si="5"/>
        <v>0</v>
      </c>
    </row>
    <row r="116" spans="1:13" s="272" customFormat="1" ht="17.100000000000001" customHeight="1" x14ac:dyDescent="0.25">
      <c r="A116" s="267" t="s">
        <v>398</v>
      </c>
      <c r="B116" s="273" t="s">
        <v>501</v>
      </c>
      <c r="C116" s="267"/>
      <c r="D116" s="336"/>
      <c r="E116" s="59">
        <v>0</v>
      </c>
      <c r="F116" s="276"/>
      <c r="G116" s="357"/>
      <c r="H116" s="274"/>
      <c r="I116" s="277"/>
      <c r="J116" s="372"/>
      <c r="K116" s="376">
        <v>0</v>
      </c>
      <c r="L116" s="254">
        <v>1.2727999999999999</v>
      </c>
      <c r="M116" s="254">
        <f t="shared" si="5"/>
        <v>0</v>
      </c>
    </row>
    <row r="117" spans="1:13" ht="17.100000000000001" customHeight="1" x14ac:dyDescent="0.25">
      <c r="A117" s="61" t="s">
        <v>289</v>
      </c>
      <c r="B117" s="275" t="s">
        <v>290</v>
      </c>
      <c r="C117" s="61" t="s">
        <v>205</v>
      </c>
      <c r="D117" s="338">
        <v>9000</v>
      </c>
      <c r="E117" s="59">
        <v>12208</v>
      </c>
      <c r="F117" s="353">
        <f>+E117*D117</f>
        <v>109872000</v>
      </c>
      <c r="G117" s="359"/>
      <c r="H117" s="253">
        <v>5825</v>
      </c>
      <c r="I117" s="277">
        <v>1.4</v>
      </c>
      <c r="J117" s="372"/>
      <c r="K117" s="329">
        <v>8154.9999999999991</v>
      </c>
      <c r="L117" s="254">
        <v>1.2727999999999999</v>
      </c>
      <c r="M117" s="254">
        <f t="shared" si="5"/>
        <v>10379.683999999997</v>
      </c>
    </row>
    <row r="118" spans="1:13" ht="17.100000000000001" customHeight="1" x14ac:dyDescent="0.25">
      <c r="A118" s="61" t="s">
        <v>400</v>
      </c>
      <c r="B118" s="275" t="s">
        <v>292</v>
      </c>
      <c r="C118" s="61" t="s">
        <v>205</v>
      </c>
      <c r="D118" s="337">
        <v>9000</v>
      </c>
      <c r="E118" s="59">
        <v>4410.2519999999995</v>
      </c>
      <c r="F118" s="276">
        <f t="shared" si="6"/>
        <v>39692267.999999993</v>
      </c>
      <c r="G118" s="357"/>
      <c r="H118" s="253">
        <v>2475</v>
      </c>
      <c r="I118" s="277">
        <v>1.4</v>
      </c>
      <c r="J118" s="372"/>
      <c r="K118" s="329">
        <v>3465</v>
      </c>
      <c r="L118" s="254">
        <v>1.2727999999999999</v>
      </c>
      <c r="M118" s="254">
        <f t="shared" si="5"/>
        <v>4410.2519999999995</v>
      </c>
    </row>
    <row r="119" spans="1:13" ht="17.100000000000001" customHeight="1" x14ac:dyDescent="0.25">
      <c r="A119" s="61" t="s">
        <v>401</v>
      </c>
      <c r="B119" s="275" t="s">
        <v>294</v>
      </c>
      <c r="C119" s="61" t="s">
        <v>205</v>
      </c>
      <c r="D119" s="337">
        <v>1500</v>
      </c>
      <c r="E119" s="59">
        <v>1719.5527999999999</v>
      </c>
      <c r="F119" s="276">
        <f t="shared" si="6"/>
        <v>2579329.1999999997</v>
      </c>
      <c r="G119" s="357"/>
      <c r="H119" s="253">
        <v>965</v>
      </c>
      <c r="I119" s="277">
        <v>1.4</v>
      </c>
      <c r="J119" s="372"/>
      <c r="K119" s="329">
        <v>1351</v>
      </c>
      <c r="L119" s="254">
        <v>1.2727999999999999</v>
      </c>
      <c r="M119" s="254">
        <f t="shared" si="5"/>
        <v>1719.5527999999999</v>
      </c>
    </row>
    <row r="120" spans="1:13" ht="17.100000000000001" customHeight="1" x14ac:dyDescent="0.25">
      <c r="A120" s="61" t="s">
        <v>402</v>
      </c>
      <c r="B120" s="275" t="s">
        <v>216</v>
      </c>
      <c r="C120" s="61" t="s">
        <v>203</v>
      </c>
      <c r="D120" s="337">
        <v>625</v>
      </c>
      <c r="E120" s="59">
        <v>4632.9919999999993</v>
      </c>
      <c r="F120" s="276">
        <f t="shared" si="6"/>
        <v>2895619.9999999995</v>
      </c>
      <c r="G120" s="357"/>
      <c r="H120" s="253">
        <v>2600</v>
      </c>
      <c r="I120" s="277">
        <v>1.4</v>
      </c>
      <c r="J120" s="372"/>
      <c r="K120" s="329">
        <v>3639.9999999999995</v>
      </c>
      <c r="L120" s="254">
        <v>1.2727999999999999</v>
      </c>
      <c r="M120" s="254">
        <f t="shared" si="5"/>
        <v>4632.9919999999993</v>
      </c>
    </row>
    <row r="121" spans="1:13" ht="17.100000000000001" customHeight="1" x14ac:dyDescent="0.25">
      <c r="A121" s="61" t="s">
        <v>403</v>
      </c>
      <c r="B121" s="275" t="s">
        <v>298</v>
      </c>
      <c r="C121" s="61" t="s">
        <v>203</v>
      </c>
      <c r="D121" s="337">
        <v>625</v>
      </c>
      <c r="E121" s="59">
        <v>7243.5047999999997</v>
      </c>
      <c r="F121" s="276">
        <f t="shared" si="6"/>
        <v>4527190.5</v>
      </c>
      <c r="G121" s="357"/>
      <c r="H121" s="253">
        <v>4065</v>
      </c>
      <c r="I121" s="277">
        <v>1.4</v>
      </c>
      <c r="J121" s="372"/>
      <c r="K121" s="329">
        <v>5691</v>
      </c>
      <c r="L121" s="254">
        <v>1.2727999999999999</v>
      </c>
      <c r="M121" s="254">
        <f t="shared" si="5"/>
        <v>7243.5047999999997</v>
      </c>
    </row>
    <row r="122" spans="1:13" ht="17.100000000000001" customHeight="1" x14ac:dyDescent="0.25">
      <c r="A122" s="61" t="s">
        <v>404</v>
      </c>
      <c r="B122" s="275" t="s">
        <v>218</v>
      </c>
      <c r="C122" s="61" t="s">
        <v>205</v>
      </c>
      <c r="D122" s="337">
        <v>18000</v>
      </c>
      <c r="E122" s="59">
        <v>2672.8799999999997</v>
      </c>
      <c r="F122" s="276">
        <f t="shared" si="6"/>
        <v>48111839.999999993</v>
      </c>
      <c r="G122" s="357"/>
      <c r="H122" s="253">
        <v>1500</v>
      </c>
      <c r="I122" s="277">
        <v>1.4</v>
      </c>
      <c r="J122" s="372"/>
      <c r="K122" s="329">
        <v>2100</v>
      </c>
      <c r="L122" s="254">
        <v>1.2727999999999999</v>
      </c>
      <c r="M122" s="254">
        <f t="shared" si="5"/>
        <v>2672.8799999999997</v>
      </c>
    </row>
    <row r="123" spans="1:13" ht="17.100000000000001" customHeight="1" x14ac:dyDescent="0.25">
      <c r="A123" s="61" t="s">
        <v>405</v>
      </c>
      <c r="B123" s="275" t="s">
        <v>202</v>
      </c>
      <c r="C123" s="61" t="s">
        <v>205</v>
      </c>
      <c r="D123" s="337">
        <v>9000</v>
      </c>
      <c r="E123" s="59">
        <v>258.3784</v>
      </c>
      <c r="F123" s="276">
        <f t="shared" si="6"/>
        <v>2325405.6</v>
      </c>
      <c r="G123" s="357"/>
      <c r="H123" s="253">
        <v>145</v>
      </c>
      <c r="I123" s="277">
        <v>1.4</v>
      </c>
      <c r="J123" s="372"/>
      <c r="K123" s="329">
        <v>203</v>
      </c>
      <c r="L123" s="254">
        <v>1.2727999999999999</v>
      </c>
      <c r="M123" s="254">
        <f t="shared" si="5"/>
        <v>258.3784</v>
      </c>
    </row>
    <row r="124" spans="1:13" ht="17.100000000000001" customHeight="1" x14ac:dyDescent="0.25">
      <c r="A124" s="61" t="s">
        <v>406</v>
      </c>
      <c r="B124" s="275" t="s">
        <v>490</v>
      </c>
      <c r="C124" s="61" t="s">
        <v>203</v>
      </c>
      <c r="D124" s="337">
        <v>117</v>
      </c>
      <c r="E124" s="59">
        <v>15146.32</v>
      </c>
      <c r="F124" s="276">
        <f t="shared" si="6"/>
        <v>1772119.44</v>
      </c>
      <c r="G124" s="357"/>
      <c r="H124" s="253">
        <v>8500</v>
      </c>
      <c r="I124" s="277">
        <v>1.4</v>
      </c>
      <c r="J124" s="372"/>
      <c r="K124" s="329">
        <v>11900</v>
      </c>
      <c r="L124" s="254">
        <v>1.2727999999999999</v>
      </c>
      <c r="M124" s="254">
        <f t="shared" si="5"/>
        <v>15146.32</v>
      </c>
    </row>
    <row r="125" spans="1:13" ht="17.100000000000001" customHeight="1" x14ac:dyDescent="0.25">
      <c r="A125" s="61" t="s">
        <v>407</v>
      </c>
      <c r="B125" s="275" t="s">
        <v>485</v>
      </c>
      <c r="C125" s="61" t="s">
        <v>203</v>
      </c>
      <c r="D125" s="337">
        <v>117</v>
      </c>
      <c r="E125" s="59">
        <v>5078.4719999999988</v>
      </c>
      <c r="F125" s="276">
        <f t="shared" si="6"/>
        <v>594181.22399999981</v>
      </c>
      <c r="G125" s="357"/>
      <c r="H125" s="253">
        <v>2850</v>
      </c>
      <c r="I125" s="277">
        <v>1.4</v>
      </c>
      <c r="J125" s="372"/>
      <c r="K125" s="329">
        <v>3989.9999999999995</v>
      </c>
      <c r="L125" s="254">
        <v>1.2727999999999999</v>
      </c>
      <c r="M125" s="254">
        <f t="shared" si="5"/>
        <v>5078.4719999999988</v>
      </c>
    </row>
    <row r="126" spans="1:13" ht="17.100000000000001" customHeight="1" x14ac:dyDescent="0.25">
      <c r="A126" s="61" t="s">
        <v>408</v>
      </c>
      <c r="B126" s="275" t="s">
        <v>486</v>
      </c>
      <c r="C126" s="61" t="s">
        <v>203</v>
      </c>
      <c r="D126" s="337">
        <v>117</v>
      </c>
      <c r="E126" s="59">
        <v>26728.799999999999</v>
      </c>
      <c r="F126" s="278">
        <f t="shared" ref="F126:F137" si="8">+D126*E126</f>
        <v>3127269.6</v>
      </c>
      <c r="G126" s="358"/>
      <c r="H126" s="253">
        <v>15000</v>
      </c>
      <c r="I126" s="277">
        <v>1.4</v>
      </c>
      <c r="J126" s="372"/>
      <c r="K126" s="329">
        <v>21000</v>
      </c>
      <c r="L126" s="254">
        <v>1.2727999999999999</v>
      </c>
      <c r="M126" s="254">
        <f t="shared" si="5"/>
        <v>26728.799999999999</v>
      </c>
    </row>
    <row r="127" spans="1:13" ht="17.100000000000001" customHeight="1" x14ac:dyDescent="0.25">
      <c r="A127" s="61" t="s">
        <v>409</v>
      </c>
      <c r="B127" s="275" t="s">
        <v>222</v>
      </c>
      <c r="C127" s="61" t="s">
        <v>205</v>
      </c>
      <c r="D127" s="337">
        <v>1500</v>
      </c>
      <c r="E127" s="59">
        <v>22274</v>
      </c>
      <c r="F127" s="278">
        <f t="shared" si="8"/>
        <v>33411000</v>
      </c>
      <c r="G127" s="358"/>
      <c r="H127" s="253">
        <v>12500</v>
      </c>
      <c r="I127" s="277">
        <v>1.4</v>
      </c>
      <c r="J127" s="372"/>
      <c r="K127" s="329">
        <v>17500</v>
      </c>
      <c r="L127" s="254">
        <v>1.2727999999999999</v>
      </c>
      <c r="M127" s="254">
        <f t="shared" si="5"/>
        <v>22274</v>
      </c>
    </row>
    <row r="128" spans="1:13" ht="17.100000000000001" customHeight="1" x14ac:dyDescent="0.25">
      <c r="A128" s="61" t="s">
        <v>410</v>
      </c>
      <c r="B128" s="275" t="s">
        <v>223</v>
      </c>
      <c r="C128" s="61" t="s">
        <v>205</v>
      </c>
      <c r="D128" s="337">
        <v>6000</v>
      </c>
      <c r="E128" s="59">
        <v>2672.8799999999997</v>
      </c>
      <c r="F128" s="278">
        <f t="shared" si="8"/>
        <v>16037279.999999998</v>
      </c>
      <c r="G128" s="358"/>
      <c r="H128" s="253">
        <v>1500</v>
      </c>
      <c r="I128" s="277">
        <v>1.4</v>
      </c>
      <c r="J128" s="372"/>
      <c r="K128" s="329">
        <v>2100</v>
      </c>
      <c r="L128" s="254">
        <v>1.2727999999999999</v>
      </c>
      <c r="M128" s="254">
        <f t="shared" si="5"/>
        <v>2672.8799999999997</v>
      </c>
    </row>
    <row r="129" spans="1:13" ht="17.100000000000001" customHeight="1" x14ac:dyDescent="0.25">
      <c r="A129" s="61" t="s">
        <v>411</v>
      </c>
      <c r="B129" s="275" t="s">
        <v>311</v>
      </c>
      <c r="C129" s="61" t="s">
        <v>203</v>
      </c>
      <c r="D129" s="337">
        <v>117</v>
      </c>
      <c r="E129" s="59">
        <v>44548</v>
      </c>
      <c r="F129" s="278">
        <f t="shared" si="8"/>
        <v>5212116</v>
      </c>
      <c r="G129" s="358"/>
      <c r="H129" s="253">
        <v>25000</v>
      </c>
      <c r="I129" s="277">
        <v>1.4</v>
      </c>
      <c r="J129" s="372"/>
      <c r="K129" s="329">
        <v>35000</v>
      </c>
      <c r="L129" s="254">
        <v>1.2727999999999999</v>
      </c>
      <c r="M129" s="254">
        <f t="shared" si="5"/>
        <v>44548</v>
      </c>
    </row>
    <row r="130" spans="1:13" ht="17.100000000000001" customHeight="1" x14ac:dyDescent="0.25">
      <c r="A130" s="61" t="s">
        <v>412</v>
      </c>
      <c r="B130" s="275" t="s">
        <v>269</v>
      </c>
      <c r="C130" s="61" t="s">
        <v>204</v>
      </c>
      <c r="D130" s="337">
        <v>4</v>
      </c>
      <c r="E130" s="59">
        <v>2545600</v>
      </c>
      <c r="F130" s="278">
        <f t="shared" si="8"/>
        <v>10182400</v>
      </c>
      <c r="G130" s="358"/>
      <c r="H130" s="253">
        <v>350000</v>
      </c>
      <c r="I130" s="277">
        <v>1.4</v>
      </c>
      <c r="J130" s="372"/>
      <c r="K130" s="329">
        <v>2000000</v>
      </c>
      <c r="L130" s="254">
        <v>1.2727999999999999</v>
      </c>
      <c r="M130" s="254">
        <f t="shared" si="5"/>
        <v>2545600</v>
      </c>
    </row>
    <row r="131" spans="1:13" ht="17.100000000000001" customHeight="1" x14ac:dyDescent="0.25">
      <c r="A131" s="61" t="s">
        <v>413</v>
      </c>
      <c r="B131" s="275" t="s">
        <v>276</v>
      </c>
      <c r="C131" s="61" t="s">
        <v>205</v>
      </c>
      <c r="D131" s="337">
        <v>110</v>
      </c>
      <c r="E131" s="59">
        <v>35638.400000000001</v>
      </c>
      <c r="F131" s="278">
        <f t="shared" si="8"/>
        <v>3920224</v>
      </c>
      <c r="G131" s="358"/>
      <c r="H131" s="253">
        <v>20000</v>
      </c>
      <c r="I131" s="277">
        <v>1.4</v>
      </c>
      <c r="J131" s="372"/>
      <c r="K131" s="329">
        <v>28000</v>
      </c>
      <c r="L131" s="254">
        <v>1.2727999999999999</v>
      </c>
      <c r="M131" s="254">
        <f t="shared" si="5"/>
        <v>35638.400000000001</v>
      </c>
    </row>
    <row r="132" spans="1:13" ht="17.100000000000001" customHeight="1" x14ac:dyDescent="0.25">
      <c r="A132" s="61" t="s">
        <v>414</v>
      </c>
      <c r="B132" s="275" t="s">
        <v>275</v>
      </c>
      <c r="C132" s="61" t="s">
        <v>205</v>
      </c>
      <c r="D132" s="337">
        <v>60</v>
      </c>
      <c r="E132" s="59">
        <v>26728.799999999999</v>
      </c>
      <c r="F132" s="278">
        <f t="shared" si="8"/>
        <v>1603728</v>
      </c>
      <c r="G132" s="358"/>
      <c r="H132" s="253">
        <v>15000</v>
      </c>
      <c r="I132" s="277">
        <v>1.4</v>
      </c>
      <c r="J132" s="372"/>
      <c r="K132" s="329">
        <v>21000</v>
      </c>
      <c r="L132" s="254">
        <v>1.2727999999999999</v>
      </c>
      <c r="M132" s="254">
        <f t="shared" si="5"/>
        <v>26728.799999999999</v>
      </c>
    </row>
    <row r="133" spans="1:13" ht="17.100000000000001" customHeight="1" x14ac:dyDescent="0.25">
      <c r="A133" s="61" t="s">
        <v>415</v>
      </c>
      <c r="B133" s="275" t="s">
        <v>270</v>
      </c>
      <c r="C133" s="61" t="s">
        <v>204</v>
      </c>
      <c r="D133" s="337">
        <v>1</v>
      </c>
      <c r="E133" s="59">
        <v>2316496</v>
      </c>
      <c r="F133" s="278">
        <f t="shared" si="8"/>
        <v>2316496</v>
      </c>
      <c r="G133" s="358"/>
      <c r="H133" s="253">
        <v>1300000</v>
      </c>
      <c r="I133" s="277">
        <v>1.4</v>
      </c>
      <c r="J133" s="372"/>
      <c r="K133" s="329">
        <v>1820000</v>
      </c>
      <c r="L133" s="254">
        <v>1.2727999999999999</v>
      </c>
      <c r="M133" s="254">
        <f t="shared" si="5"/>
        <v>2316496</v>
      </c>
    </row>
    <row r="134" spans="1:13" ht="17.100000000000001" customHeight="1" x14ac:dyDescent="0.25">
      <c r="A134" s="61" t="s">
        <v>416</v>
      </c>
      <c r="B134" s="275" t="s">
        <v>271</v>
      </c>
      <c r="C134" s="61" t="s">
        <v>205</v>
      </c>
      <c r="D134" s="337">
        <v>6</v>
      </c>
      <c r="E134" s="59">
        <v>8018.6399999999994</v>
      </c>
      <c r="F134" s="278">
        <f t="shared" si="8"/>
        <v>48111.839999999997</v>
      </c>
      <c r="G134" s="358"/>
      <c r="H134" s="253">
        <v>4500</v>
      </c>
      <c r="I134" s="277">
        <v>1.4</v>
      </c>
      <c r="J134" s="372"/>
      <c r="K134" s="329">
        <v>6300</v>
      </c>
      <c r="L134" s="254">
        <v>1.2727999999999999</v>
      </c>
      <c r="M134" s="254">
        <f t="shared" si="5"/>
        <v>8018.6399999999994</v>
      </c>
    </row>
    <row r="135" spans="1:13" ht="17.100000000000001" customHeight="1" x14ac:dyDescent="0.25">
      <c r="A135" s="61" t="s">
        <v>417</v>
      </c>
      <c r="B135" s="275" t="s">
        <v>502</v>
      </c>
      <c r="C135" s="61" t="s">
        <v>418</v>
      </c>
      <c r="D135" s="337">
        <v>30</v>
      </c>
      <c r="E135" s="59">
        <v>381840</v>
      </c>
      <c r="F135" s="278">
        <f t="shared" si="8"/>
        <v>11455200</v>
      </c>
      <c r="G135" s="358"/>
      <c r="H135" s="253">
        <v>150000</v>
      </c>
      <c r="I135" s="277">
        <v>1.4</v>
      </c>
      <c r="J135" s="372"/>
      <c r="K135" s="329">
        <v>300000</v>
      </c>
      <c r="L135" s="254">
        <v>1.2727999999999999</v>
      </c>
      <c r="M135" s="254">
        <f t="shared" si="5"/>
        <v>381840</v>
      </c>
    </row>
    <row r="136" spans="1:13" ht="17.100000000000001" customHeight="1" x14ac:dyDescent="0.25">
      <c r="A136" s="61" t="s">
        <v>419</v>
      </c>
      <c r="B136" s="275" t="s">
        <v>503</v>
      </c>
      <c r="C136" s="61" t="s">
        <v>418</v>
      </c>
      <c r="D136" s="337">
        <v>30</v>
      </c>
      <c r="E136" s="59">
        <v>534576</v>
      </c>
      <c r="F136" s="278">
        <f t="shared" si="8"/>
        <v>16037280</v>
      </c>
      <c r="G136" s="358"/>
      <c r="H136" s="253">
        <v>300000</v>
      </c>
      <c r="I136" s="277">
        <v>1.4</v>
      </c>
      <c r="J136" s="372"/>
      <c r="K136" s="329">
        <v>420000</v>
      </c>
      <c r="L136" s="254">
        <v>1.2727999999999999</v>
      </c>
      <c r="M136" s="254">
        <f t="shared" si="5"/>
        <v>534576</v>
      </c>
    </row>
    <row r="137" spans="1:13" ht="16.5" customHeight="1" x14ac:dyDescent="0.25">
      <c r="A137" s="61" t="s">
        <v>421</v>
      </c>
      <c r="B137" s="275" t="s">
        <v>504</v>
      </c>
      <c r="C137" s="61" t="s">
        <v>418</v>
      </c>
      <c r="D137" s="337">
        <v>60</v>
      </c>
      <c r="E137" s="59">
        <v>254560</v>
      </c>
      <c r="F137" s="278">
        <f t="shared" si="8"/>
        <v>15273600</v>
      </c>
      <c r="G137" s="358"/>
      <c r="H137" s="253">
        <v>130000</v>
      </c>
      <c r="I137" s="277">
        <v>1.4</v>
      </c>
      <c r="J137" s="372"/>
      <c r="K137" s="329">
        <v>200000</v>
      </c>
      <c r="L137" s="254">
        <v>1.2727999999999999</v>
      </c>
      <c r="M137" s="254">
        <f t="shared" si="5"/>
        <v>254560</v>
      </c>
    </row>
    <row r="138" spans="1:13" ht="17.100000000000001" customHeight="1" x14ac:dyDescent="0.25">
      <c r="A138" s="61"/>
      <c r="B138" s="275"/>
      <c r="C138" s="61"/>
      <c r="D138" s="337"/>
      <c r="E138" s="59">
        <v>0</v>
      </c>
      <c r="F138" s="278"/>
      <c r="G138" s="358"/>
      <c r="I138" s="277"/>
      <c r="J138" s="372"/>
      <c r="L138" s="254">
        <v>1.2727999999999999</v>
      </c>
      <c r="M138" s="254">
        <f t="shared" si="5"/>
        <v>0</v>
      </c>
    </row>
    <row r="139" spans="1:13" s="272" customFormat="1" ht="17.100000000000001" customHeight="1" x14ac:dyDescent="0.25">
      <c r="A139" s="267" t="s">
        <v>423</v>
      </c>
      <c r="B139" s="354" t="s">
        <v>505</v>
      </c>
      <c r="C139" s="267"/>
      <c r="D139" s="336"/>
      <c r="E139" s="59">
        <v>0</v>
      </c>
      <c r="F139" s="276"/>
      <c r="G139" s="357"/>
      <c r="H139" s="274"/>
      <c r="I139" s="277"/>
      <c r="J139" s="372"/>
      <c r="K139" s="376"/>
      <c r="L139" s="254">
        <v>1.2727999999999999</v>
      </c>
      <c r="M139" s="254">
        <f t="shared" si="5"/>
        <v>0</v>
      </c>
    </row>
    <row r="140" spans="1:13" ht="17.100000000000001" customHeight="1" x14ac:dyDescent="0.25">
      <c r="A140" s="61" t="s">
        <v>424</v>
      </c>
      <c r="B140" s="275" t="s">
        <v>292</v>
      </c>
      <c r="C140" s="61" t="s">
        <v>205</v>
      </c>
      <c r="D140" s="337">
        <v>1500</v>
      </c>
      <c r="E140" s="59">
        <v>4410.2519999999995</v>
      </c>
      <c r="F140" s="276">
        <f t="shared" si="6"/>
        <v>6615377.9999999991</v>
      </c>
      <c r="G140" s="357">
        <v>500</v>
      </c>
      <c r="H140" s="253">
        <v>2475</v>
      </c>
      <c r="I140" s="277">
        <v>1.4</v>
      </c>
      <c r="J140" s="372"/>
      <c r="K140" s="329">
        <v>3465</v>
      </c>
      <c r="L140" s="254">
        <v>1.2727999999999999</v>
      </c>
      <c r="M140" s="254">
        <f t="shared" si="5"/>
        <v>4410.2519999999995</v>
      </c>
    </row>
    <row r="141" spans="1:13" ht="17.100000000000001" customHeight="1" x14ac:dyDescent="0.25">
      <c r="A141" s="61" t="s">
        <v>425</v>
      </c>
      <c r="B141" s="275" t="s">
        <v>506</v>
      </c>
      <c r="C141" s="61" t="s">
        <v>205</v>
      </c>
      <c r="D141" s="337">
        <f>9*3</f>
        <v>27</v>
      </c>
      <c r="E141" s="59">
        <v>8767.0463999999993</v>
      </c>
      <c r="F141" s="276">
        <f t="shared" si="6"/>
        <v>236710.25279999999</v>
      </c>
      <c r="G141" s="357">
        <v>9</v>
      </c>
      <c r="H141" s="253">
        <v>4920</v>
      </c>
      <c r="I141" s="277">
        <v>1.4</v>
      </c>
      <c r="J141" s="372"/>
      <c r="K141" s="329">
        <v>6888</v>
      </c>
      <c r="L141" s="254">
        <v>1.2727999999999999</v>
      </c>
      <c r="M141" s="254">
        <f t="shared" si="5"/>
        <v>8767.0463999999993</v>
      </c>
    </row>
    <row r="142" spans="1:13" ht="17.100000000000001" customHeight="1" x14ac:dyDescent="0.25">
      <c r="A142" s="61" t="s">
        <v>426</v>
      </c>
      <c r="B142" s="275" t="s">
        <v>231</v>
      </c>
      <c r="C142" s="61" t="s">
        <v>205</v>
      </c>
      <c r="D142" s="337">
        <v>27</v>
      </c>
      <c r="E142" s="59">
        <v>6236.7199999999993</v>
      </c>
      <c r="F142" s="276">
        <f t="shared" si="6"/>
        <v>168391.43999999997</v>
      </c>
      <c r="G142" s="357">
        <v>9</v>
      </c>
      <c r="H142" s="253">
        <v>3500</v>
      </c>
      <c r="I142" s="277">
        <v>1.4</v>
      </c>
      <c r="J142" s="372"/>
      <c r="K142" s="329">
        <v>4900</v>
      </c>
      <c r="L142" s="254">
        <v>1.2727999999999999</v>
      </c>
      <c r="M142" s="254">
        <f t="shared" si="5"/>
        <v>6236.7199999999993</v>
      </c>
    </row>
    <row r="143" spans="1:13" ht="17.100000000000001" customHeight="1" x14ac:dyDescent="0.25">
      <c r="A143" s="61" t="s">
        <v>427</v>
      </c>
      <c r="B143" s="275" t="s">
        <v>232</v>
      </c>
      <c r="C143" s="61" t="s">
        <v>203</v>
      </c>
      <c r="D143" s="337">
        <v>3</v>
      </c>
      <c r="E143" s="59">
        <v>12389.689759999997</v>
      </c>
      <c r="F143" s="276">
        <f t="shared" si="6"/>
        <v>37169.069279999996</v>
      </c>
      <c r="G143" s="357">
        <v>1</v>
      </c>
      <c r="H143" s="253">
        <v>6953</v>
      </c>
      <c r="I143" s="277">
        <v>1.4</v>
      </c>
      <c r="J143" s="372"/>
      <c r="K143" s="329">
        <v>9734.1999999999989</v>
      </c>
      <c r="L143" s="254">
        <v>1.2727999999999999</v>
      </c>
      <c r="M143" s="254">
        <f t="shared" si="5"/>
        <v>12389.689759999997</v>
      </c>
    </row>
    <row r="144" spans="1:13" ht="17.100000000000001" customHeight="1" x14ac:dyDescent="0.25">
      <c r="A144" s="61" t="s">
        <v>428</v>
      </c>
      <c r="B144" s="275" t="s">
        <v>233</v>
      </c>
      <c r="C144" s="61" t="s">
        <v>203</v>
      </c>
      <c r="D144" s="337">
        <v>3</v>
      </c>
      <c r="E144" s="59">
        <v>12389.689759999997</v>
      </c>
      <c r="F144" s="276">
        <f t="shared" si="6"/>
        <v>37169.069279999996</v>
      </c>
      <c r="G144" s="357">
        <v>1</v>
      </c>
      <c r="H144" s="253">
        <v>6953</v>
      </c>
      <c r="I144" s="277">
        <v>1.4</v>
      </c>
      <c r="J144" s="372"/>
      <c r="K144" s="329">
        <v>9734.1999999999989</v>
      </c>
      <c r="L144" s="254">
        <v>1.2727999999999999</v>
      </c>
      <c r="M144" s="254">
        <f t="shared" si="5"/>
        <v>12389.689759999997</v>
      </c>
    </row>
    <row r="145" spans="1:13" ht="17.100000000000001" customHeight="1" x14ac:dyDescent="0.25">
      <c r="A145" s="61" t="s">
        <v>429</v>
      </c>
      <c r="B145" s="275" t="s">
        <v>234</v>
      </c>
      <c r="C145" s="61" t="s">
        <v>203</v>
      </c>
      <c r="D145" s="337">
        <v>12</v>
      </c>
      <c r="E145" s="59">
        <v>4454.8</v>
      </c>
      <c r="F145" s="276">
        <f t="shared" si="6"/>
        <v>53457.600000000006</v>
      </c>
      <c r="G145" s="357">
        <v>1</v>
      </c>
      <c r="H145" s="253">
        <v>2500</v>
      </c>
      <c r="I145" s="277">
        <v>1.4</v>
      </c>
      <c r="J145" s="372"/>
      <c r="K145" s="329">
        <v>3500</v>
      </c>
      <c r="L145" s="254">
        <v>1.2727999999999999</v>
      </c>
      <c r="M145" s="254">
        <f t="shared" si="5"/>
        <v>4454.8</v>
      </c>
    </row>
    <row r="146" spans="1:13" ht="17.100000000000001" customHeight="1" x14ac:dyDescent="0.25">
      <c r="A146" s="61" t="s">
        <v>430</v>
      </c>
      <c r="B146" s="275" t="s">
        <v>235</v>
      </c>
      <c r="C146" s="61" t="s">
        <v>203</v>
      </c>
      <c r="D146" s="337">
        <v>3</v>
      </c>
      <c r="E146" s="59">
        <v>220512.59999999998</v>
      </c>
      <c r="F146" s="276">
        <f t="shared" si="6"/>
        <v>661537.79999999993</v>
      </c>
      <c r="G146" s="357">
        <v>2</v>
      </c>
      <c r="H146" s="253">
        <v>123750</v>
      </c>
      <c r="I146" s="277">
        <v>1.4</v>
      </c>
      <c r="J146" s="372"/>
      <c r="K146" s="329">
        <v>173250</v>
      </c>
      <c r="L146" s="254">
        <v>1.2727999999999999</v>
      </c>
      <c r="M146" s="254">
        <f t="shared" si="5"/>
        <v>220512.59999999998</v>
      </c>
    </row>
    <row r="147" spans="1:13" ht="17.100000000000001" customHeight="1" x14ac:dyDescent="0.25">
      <c r="A147" s="61" t="s">
        <v>431</v>
      </c>
      <c r="B147" s="275" t="s">
        <v>236</v>
      </c>
      <c r="C147" s="61" t="s">
        <v>203</v>
      </c>
      <c r="D147" s="337">
        <v>6</v>
      </c>
      <c r="E147" s="59">
        <v>166010.79487999997</v>
      </c>
      <c r="F147" s="276">
        <f t="shared" si="6"/>
        <v>996064.76927999989</v>
      </c>
      <c r="G147" s="357">
        <v>1</v>
      </c>
      <c r="H147" s="253">
        <v>93164</v>
      </c>
      <c r="I147" s="277">
        <v>1.4</v>
      </c>
      <c r="J147" s="372"/>
      <c r="K147" s="329">
        <v>130429.59999999999</v>
      </c>
      <c r="L147" s="254">
        <v>1.2727999999999999</v>
      </c>
      <c r="M147" s="254">
        <f t="shared" ref="M147:M175" si="9">+K147*L147</f>
        <v>166010.79487999997</v>
      </c>
    </row>
    <row r="148" spans="1:13" ht="17.100000000000001" customHeight="1" x14ac:dyDescent="0.25">
      <c r="A148" s="61" t="s">
        <v>432</v>
      </c>
      <c r="B148" s="275" t="s">
        <v>237</v>
      </c>
      <c r="C148" s="61" t="s">
        <v>203</v>
      </c>
      <c r="D148" s="337">
        <f>6*3</f>
        <v>18</v>
      </c>
      <c r="E148" s="59">
        <v>37673.352639999997</v>
      </c>
      <c r="F148" s="276">
        <f t="shared" si="6"/>
        <v>678120.34751999995</v>
      </c>
      <c r="G148" s="357">
        <v>2</v>
      </c>
      <c r="H148" s="253">
        <v>21142</v>
      </c>
      <c r="I148" s="277">
        <v>1.4</v>
      </c>
      <c r="J148" s="372"/>
      <c r="K148" s="329">
        <v>29598.799999999999</v>
      </c>
      <c r="L148" s="254">
        <v>1.2727999999999999</v>
      </c>
      <c r="M148" s="254">
        <f t="shared" si="9"/>
        <v>37673.352639999997</v>
      </c>
    </row>
    <row r="149" spans="1:13" ht="17.100000000000001" customHeight="1" x14ac:dyDescent="0.25">
      <c r="A149" s="61" t="s">
        <v>433</v>
      </c>
      <c r="B149" s="275" t="s">
        <v>238</v>
      </c>
      <c r="C149" s="61" t="s">
        <v>203</v>
      </c>
      <c r="D149" s="337">
        <v>6</v>
      </c>
      <c r="E149" s="59">
        <v>68195.860319999992</v>
      </c>
      <c r="F149" s="276">
        <f t="shared" si="6"/>
        <v>409175.16191999998</v>
      </c>
      <c r="G149" s="357">
        <v>6</v>
      </c>
      <c r="H149" s="253">
        <v>38271</v>
      </c>
      <c r="I149" s="277">
        <v>1.4</v>
      </c>
      <c r="J149" s="372"/>
      <c r="K149" s="329">
        <v>53579.399999999994</v>
      </c>
      <c r="L149" s="254">
        <v>1.2727999999999999</v>
      </c>
      <c r="M149" s="254">
        <f t="shared" si="9"/>
        <v>68195.860319999992</v>
      </c>
    </row>
    <row r="150" spans="1:13" ht="17.100000000000001" customHeight="1" x14ac:dyDescent="0.25">
      <c r="A150" s="61" t="s">
        <v>434</v>
      </c>
      <c r="B150" s="275" t="s">
        <v>239</v>
      </c>
      <c r="C150" s="61" t="s">
        <v>203</v>
      </c>
      <c r="D150" s="337">
        <v>6</v>
      </c>
      <c r="E150" s="59">
        <v>55909.521919999992</v>
      </c>
      <c r="F150" s="276">
        <f t="shared" si="6"/>
        <v>335457.13151999994</v>
      </c>
      <c r="G150" s="357">
        <v>2</v>
      </c>
      <c r="H150" s="253">
        <v>31376</v>
      </c>
      <c r="I150" s="277">
        <v>1.4</v>
      </c>
      <c r="J150" s="372"/>
      <c r="K150" s="329">
        <v>43926.399999999994</v>
      </c>
      <c r="L150" s="254">
        <v>1.2727999999999999</v>
      </c>
      <c r="M150" s="254">
        <f t="shared" si="9"/>
        <v>55909.521919999992</v>
      </c>
    </row>
    <row r="151" spans="1:13" ht="17.100000000000001" customHeight="1" x14ac:dyDescent="0.25">
      <c r="A151" s="61" t="s">
        <v>435</v>
      </c>
      <c r="B151" s="275" t="s">
        <v>240</v>
      </c>
      <c r="C151" s="61" t="s">
        <v>203</v>
      </c>
      <c r="D151" s="337">
        <v>6</v>
      </c>
      <c r="E151" s="59">
        <v>31272.696</v>
      </c>
      <c r="F151" s="276">
        <f t="shared" si="6"/>
        <v>187636.17600000001</v>
      </c>
      <c r="G151" s="357">
        <v>2</v>
      </c>
      <c r="H151" s="253">
        <v>17550</v>
      </c>
      <c r="I151" s="277">
        <v>1.4</v>
      </c>
      <c r="J151" s="372"/>
      <c r="K151" s="329">
        <v>24570</v>
      </c>
      <c r="L151" s="254">
        <v>1.2727999999999999</v>
      </c>
      <c r="M151" s="254">
        <f t="shared" si="9"/>
        <v>31272.696</v>
      </c>
    </row>
    <row r="152" spans="1:13" ht="17.100000000000001" customHeight="1" x14ac:dyDescent="0.25">
      <c r="A152" s="61" t="s">
        <v>436</v>
      </c>
      <c r="B152" s="275" t="s">
        <v>363</v>
      </c>
      <c r="C152" s="61" t="s">
        <v>203</v>
      </c>
      <c r="D152" s="337">
        <v>6</v>
      </c>
      <c r="E152" s="59">
        <v>204432.55391999998</v>
      </c>
      <c r="F152" s="276">
        <f t="shared" si="6"/>
        <v>1226595.3235199999</v>
      </c>
      <c r="G152" s="357">
        <v>2</v>
      </c>
      <c r="H152" s="253">
        <v>114726</v>
      </c>
      <c r="I152" s="277">
        <v>1.4</v>
      </c>
      <c r="J152" s="372"/>
      <c r="K152" s="329">
        <v>160616.4</v>
      </c>
      <c r="L152" s="254">
        <v>1.2727999999999999</v>
      </c>
      <c r="M152" s="254">
        <f t="shared" si="9"/>
        <v>204432.55391999998</v>
      </c>
    </row>
    <row r="153" spans="1:13" ht="17.100000000000001" customHeight="1" x14ac:dyDescent="0.25">
      <c r="A153" s="61" t="s">
        <v>437</v>
      </c>
      <c r="B153" s="275" t="s">
        <v>242</v>
      </c>
      <c r="C153" s="61" t="s">
        <v>205</v>
      </c>
      <c r="D153" s="337">
        <v>200</v>
      </c>
      <c r="E153" s="59">
        <v>7425.2606399999986</v>
      </c>
      <c r="F153" s="276">
        <f t="shared" si="6"/>
        <v>1485052.1279999998</v>
      </c>
      <c r="G153" s="357">
        <v>2</v>
      </c>
      <c r="H153" s="253">
        <v>4167</v>
      </c>
      <c r="I153" s="277">
        <v>1.4</v>
      </c>
      <c r="J153" s="372"/>
      <c r="K153" s="329">
        <v>5833.7999999999993</v>
      </c>
      <c r="L153" s="254">
        <v>1.2727999999999999</v>
      </c>
      <c r="M153" s="254">
        <f t="shared" si="9"/>
        <v>7425.2606399999986</v>
      </c>
    </row>
    <row r="154" spans="1:13" ht="17.100000000000001" customHeight="1" x14ac:dyDescent="0.25">
      <c r="A154" s="61" t="s">
        <v>438</v>
      </c>
      <c r="B154" s="275" t="s">
        <v>243</v>
      </c>
      <c r="C154" s="61" t="s">
        <v>205</v>
      </c>
      <c r="D154" s="337">
        <v>80</v>
      </c>
      <c r="E154" s="59">
        <v>7425.2606399999986</v>
      </c>
      <c r="F154" s="276">
        <f t="shared" si="6"/>
        <v>594020.85119999992</v>
      </c>
      <c r="G154" s="357">
        <v>50</v>
      </c>
      <c r="H154" s="253">
        <v>4167</v>
      </c>
      <c r="I154" s="277">
        <v>1.4</v>
      </c>
      <c r="J154" s="372"/>
      <c r="K154" s="329">
        <v>5833.7999999999993</v>
      </c>
      <c r="L154" s="254">
        <v>1.2727999999999999</v>
      </c>
      <c r="M154" s="254">
        <f t="shared" si="9"/>
        <v>7425.2606399999986</v>
      </c>
    </row>
    <row r="155" spans="1:13" ht="17.100000000000001" customHeight="1" x14ac:dyDescent="0.25">
      <c r="A155" s="61" t="s">
        <v>439</v>
      </c>
      <c r="B155" s="275" t="s">
        <v>244</v>
      </c>
      <c r="C155" s="61" t="s">
        <v>205</v>
      </c>
      <c r="D155" s="337">
        <v>150</v>
      </c>
      <c r="E155" s="59">
        <v>6316.9063999999998</v>
      </c>
      <c r="F155" s="276">
        <f t="shared" ref="F155:F171" si="10">+E155*D155</f>
        <v>947535.96</v>
      </c>
      <c r="G155" s="357">
        <v>20</v>
      </c>
      <c r="H155" s="253">
        <v>3545</v>
      </c>
      <c r="I155" s="277">
        <v>1.4</v>
      </c>
      <c r="J155" s="372"/>
      <c r="K155" s="329">
        <v>4963</v>
      </c>
      <c r="L155" s="254">
        <v>1.2727999999999999</v>
      </c>
      <c r="M155" s="254">
        <f t="shared" si="9"/>
        <v>6316.9063999999998</v>
      </c>
    </row>
    <row r="156" spans="1:13" ht="17.100000000000001" customHeight="1" x14ac:dyDescent="0.25">
      <c r="A156" s="61" t="s">
        <v>440</v>
      </c>
      <c r="B156" s="275" t="s">
        <v>245</v>
      </c>
      <c r="C156" s="61" t="s">
        <v>205</v>
      </c>
      <c r="D156" s="337">
        <v>100</v>
      </c>
      <c r="E156" s="59">
        <v>6316.9063999999998</v>
      </c>
      <c r="F156" s="276">
        <f t="shared" si="10"/>
        <v>631690.64</v>
      </c>
      <c r="G156" s="357">
        <v>50</v>
      </c>
      <c r="H156" s="253">
        <v>3545</v>
      </c>
      <c r="I156" s="277">
        <v>1.4</v>
      </c>
      <c r="J156" s="372"/>
      <c r="K156" s="329">
        <v>4963</v>
      </c>
      <c r="L156" s="254">
        <v>1.2727999999999999</v>
      </c>
      <c r="M156" s="254">
        <f t="shared" si="9"/>
        <v>6316.9063999999998</v>
      </c>
    </row>
    <row r="157" spans="1:13" ht="17.100000000000001" customHeight="1" x14ac:dyDescent="0.25">
      <c r="A157" s="61" t="s">
        <v>441</v>
      </c>
      <c r="B157" s="275" t="s">
        <v>246</v>
      </c>
      <c r="C157" s="61" t="s">
        <v>205</v>
      </c>
      <c r="D157" s="337">
        <v>100</v>
      </c>
      <c r="E157" s="59">
        <v>946.19951999999989</v>
      </c>
      <c r="F157" s="276">
        <f t="shared" si="10"/>
        <v>94619.95199999999</v>
      </c>
      <c r="G157" s="357">
        <v>15</v>
      </c>
      <c r="H157" s="253">
        <v>531</v>
      </c>
      <c r="I157" s="277">
        <v>1.4</v>
      </c>
      <c r="J157" s="372"/>
      <c r="K157" s="329">
        <v>743.4</v>
      </c>
      <c r="L157" s="254">
        <v>1.2727999999999999</v>
      </c>
      <c r="M157" s="254">
        <f t="shared" si="9"/>
        <v>946.19951999999989</v>
      </c>
    </row>
    <row r="158" spans="1:13" ht="17.100000000000001" customHeight="1" x14ac:dyDescent="0.25">
      <c r="A158" s="61" t="s">
        <v>442</v>
      </c>
      <c r="B158" s="275" t="s">
        <v>247</v>
      </c>
      <c r="C158" s="61" t="s">
        <v>205</v>
      </c>
      <c r="D158" s="337">
        <v>100</v>
      </c>
      <c r="E158" s="59">
        <v>946.19951999999989</v>
      </c>
      <c r="F158" s="276">
        <f t="shared" si="10"/>
        <v>94619.95199999999</v>
      </c>
      <c r="G158" s="357">
        <v>15</v>
      </c>
      <c r="H158" s="253">
        <v>531</v>
      </c>
      <c r="I158" s="277">
        <v>1.4</v>
      </c>
      <c r="J158" s="372"/>
      <c r="K158" s="329">
        <v>743.4</v>
      </c>
      <c r="L158" s="254">
        <v>1.2727999999999999</v>
      </c>
      <c r="M158" s="254">
        <f t="shared" si="9"/>
        <v>946.19951999999989</v>
      </c>
    </row>
    <row r="159" spans="1:13" ht="17.100000000000001" customHeight="1" x14ac:dyDescent="0.25">
      <c r="A159" s="61" t="s">
        <v>443</v>
      </c>
      <c r="B159" s="275" t="s">
        <v>248</v>
      </c>
      <c r="C159" s="61" t="s">
        <v>205</v>
      </c>
      <c r="D159" s="337">
        <v>100</v>
      </c>
      <c r="E159" s="59">
        <v>3066.6843199999994</v>
      </c>
      <c r="F159" s="276">
        <f t="shared" si="10"/>
        <v>306668.43199999991</v>
      </c>
      <c r="G159" s="357">
        <v>10</v>
      </c>
      <c r="H159" s="253">
        <v>1721</v>
      </c>
      <c r="I159" s="277">
        <v>1.4</v>
      </c>
      <c r="J159" s="372"/>
      <c r="K159" s="329">
        <v>2409.3999999999996</v>
      </c>
      <c r="L159" s="254">
        <v>1.2727999999999999</v>
      </c>
      <c r="M159" s="254">
        <f t="shared" si="9"/>
        <v>3066.6843199999994</v>
      </c>
    </row>
    <row r="160" spans="1:13" ht="17.100000000000001" customHeight="1" x14ac:dyDescent="0.25">
      <c r="A160" s="61" t="s">
        <v>444</v>
      </c>
      <c r="B160" s="275" t="s">
        <v>249</v>
      </c>
      <c r="C160" s="61" t="s">
        <v>203</v>
      </c>
      <c r="D160" s="337">
        <v>200</v>
      </c>
      <c r="E160" s="59">
        <v>169.2824</v>
      </c>
      <c r="F160" s="276">
        <f t="shared" si="10"/>
        <v>33856.479999999996</v>
      </c>
      <c r="G160" s="357">
        <v>1</v>
      </c>
      <c r="H160" s="253">
        <v>95</v>
      </c>
      <c r="I160" s="277">
        <v>1.4</v>
      </c>
      <c r="J160" s="372"/>
      <c r="K160" s="329">
        <v>133</v>
      </c>
      <c r="L160" s="254">
        <v>1.2727999999999999</v>
      </c>
      <c r="M160" s="254">
        <f t="shared" si="9"/>
        <v>169.2824</v>
      </c>
    </row>
    <row r="161" spans="1:13" ht="17.100000000000001" customHeight="1" x14ac:dyDescent="0.25">
      <c r="A161" s="61" t="s">
        <v>445</v>
      </c>
      <c r="B161" s="275" t="s">
        <v>250</v>
      </c>
      <c r="C161" s="61" t="s">
        <v>203</v>
      </c>
      <c r="D161" s="337">
        <v>200</v>
      </c>
      <c r="E161" s="59">
        <v>147.89935999999997</v>
      </c>
      <c r="F161" s="276">
        <f t="shared" si="10"/>
        <v>29579.871999999996</v>
      </c>
      <c r="G161" s="357">
        <v>200</v>
      </c>
      <c r="H161" s="253">
        <v>83</v>
      </c>
      <c r="I161" s="277">
        <v>1.4</v>
      </c>
      <c r="J161" s="372"/>
      <c r="K161" s="329">
        <v>116.19999999999999</v>
      </c>
      <c r="L161" s="254">
        <v>1.2727999999999999</v>
      </c>
      <c r="M161" s="254">
        <f t="shared" si="9"/>
        <v>147.89935999999997</v>
      </c>
    </row>
    <row r="162" spans="1:13" ht="17.100000000000001" customHeight="1" x14ac:dyDescent="0.25">
      <c r="A162" s="61" t="s">
        <v>446</v>
      </c>
      <c r="B162" s="275" t="s">
        <v>251</v>
      </c>
      <c r="C162" s="61" t="s">
        <v>203</v>
      </c>
      <c r="D162" s="337">
        <v>100</v>
      </c>
      <c r="E162" s="59">
        <v>80.186399999999992</v>
      </c>
      <c r="F162" s="276">
        <f t="shared" si="10"/>
        <v>8018.6399999999994</v>
      </c>
      <c r="G162" s="357">
        <v>200</v>
      </c>
      <c r="H162" s="253">
        <v>45</v>
      </c>
      <c r="I162" s="277">
        <v>1.4</v>
      </c>
      <c r="J162" s="372"/>
      <c r="K162" s="329">
        <v>62.999999999999993</v>
      </c>
      <c r="L162" s="254">
        <v>1.2727999999999999</v>
      </c>
      <c r="M162" s="254">
        <f t="shared" si="9"/>
        <v>80.186399999999992</v>
      </c>
    </row>
    <row r="163" spans="1:13" ht="17.100000000000001" customHeight="1" x14ac:dyDescent="0.25">
      <c r="A163" s="61" t="s">
        <v>447</v>
      </c>
      <c r="B163" s="275" t="s">
        <v>252</v>
      </c>
      <c r="C163" s="61" t="s">
        <v>203</v>
      </c>
      <c r="D163" s="337">
        <v>100</v>
      </c>
      <c r="E163" s="59">
        <v>67.712959999999995</v>
      </c>
      <c r="F163" s="276">
        <f t="shared" si="10"/>
        <v>6771.2959999999994</v>
      </c>
      <c r="G163" s="357">
        <v>25</v>
      </c>
      <c r="H163" s="253">
        <v>38</v>
      </c>
      <c r="I163" s="277">
        <v>1.4</v>
      </c>
      <c r="J163" s="372"/>
      <c r="K163" s="329">
        <v>53.199999999999996</v>
      </c>
      <c r="L163" s="254">
        <v>1.2727999999999999</v>
      </c>
      <c r="M163" s="254">
        <f t="shared" si="9"/>
        <v>67.712959999999995</v>
      </c>
    </row>
    <row r="164" spans="1:13" ht="17.100000000000001" customHeight="1" x14ac:dyDescent="0.25">
      <c r="A164" s="61" t="s">
        <v>448</v>
      </c>
      <c r="B164" s="275" t="s">
        <v>253</v>
      </c>
      <c r="C164" s="61" t="s">
        <v>203</v>
      </c>
      <c r="D164" s="337">
        <v>10</v>
      </c>
      <c r="E164" s="59">
        <v>20160.642879999996</v>
      </c>
      <c r="F164" s="276">
        <f t="shared" si="10"/>
        <v>201606.42879999997</v>
      </c>
      <c r="G164" s="357">
        <v>100</v>
      </c>
      <c r="H164" s="253">
        <v>11314</v>
      </c>
      <c r="I164" s="277">
        <v>1.4</v>
      </c>
      <c r="J164" s="372"/>
      <c r="K164" s="329">
        <v>15839.599999999999</v>
      </c>
      <c r="L164" s="254">
        <v>1.2727999999999999</v>
      </c>
      <c r="M164" s="254">
        <f t="shared" si="9"/>
        <v>20160.642879999996</v>
      </c>
    </row>
    <row r="165" spans="1:13" ht="17.100000000000001" customHeight="1" x14ac:dyDescent="0.25">
      <c r="A165" s="61" t="s">
        <v>449</v>
      </c>
      <c r="B165" s="275" t="s">
        <v>254</v>
      </c>
      <c r="C165" s="61" t="s">
        <v>203</v>
      </c>
      <c r="D165" s="337">
        <v>100</v>
      </c>
      <c r="E165" s="59">
        <v>4410.2519999999995</v>
      </c>
      <c r="F165" s="276">
        <f t="shared" si="10"/>
        <v>441025.19999999995</v>
      </c>
      <c r="G165" s="357">
        <v>10</v>
      </c>
      <c r="H165" s="253">
        <v>2475</v>
      </c>
      <c r="I165" s="277">
        <v>1.4</v>
      </c>
      <c r="J165" s="372"/>
      <c r="K165" s="329">
        <v>3465</v>
      </c>
      <c r="L165" s="254">
        <v>1.2727999999999999</v>
      </c>
      <c r="M165" s="254">
        <f t="shared" si="9"/>
        <v>4410.2519999999995</v>
      </c>
    </row>
    <row r="166" spans="1:13" ht="17.100000000000001" customHeight="1" x14ac:dyDescent="0.25">
      <c r="A166" s="61" t="s">
        <v>450</v>
      </c>
      <c r="B166" s="275" t="s">
        <v>255</v>
      </c>
      <c r="C166" s="61" t="s">
        <v>203</v>
      </c>
      <c r="D166" s="337">
        <v>3</v>
      </c>
      <c r="E166" s="59">
        <v>34747.439999999995</v>
      </c>
      <c r="F166" s="276">
        <f t="shared" si="10"/>
        <v>104242.31999999998</v>
      </c>
      <c r="G166" s="357">
        <v>35</v>
      </c>
      <c r="H166" s="253">
        <v>19500</v>
      </c>
      <c r="I166" s="277">
        <v>1.4</v>
      </c>
      <c r="J166" s="372"/>
      <c r="K166" s="329">
        <v>27300</v>
      </c>
      <c r="L166" s="254">
        <v>1.2727999999999999</v>
      </c>
      <c r="M166" s="254">
        <f t="shared" si="9"/>
        <v>34747.439999999995</v>
      </c>
    </row>
    <row r="167" spans="1:13" ht="17.100000000000001" customHeight="1" x14ac:dyDescent="0.25">
      <c r="A167" s="61" t="s">
        <v>451</v>
      </c>
      <c r="B167" s="275" t="s">
        <v>256</v>
      </c>
      <c r="C167" s="61" t="s">
        <v>257</v>
      </c>
      <c r="D167" s="337">
        <v>2</v>
      </c>
      <c r="E167" s="59">
        <v>11849.768</v>
      </c>
      <c r="F167" s="276">
        <f t="shared" si="10"/>
        <v>23699.536</v>
      </c>
      <c r="G167" s="357">
        <v>1</v>
      </c>
      <c r="H167" s="253">
        <v>6650</v>
      </c>
      <c r="I167" s="277">
        <v>1.4</v>
      </c>
      <c r="J167" s="372"/>
      <c r="K167" s="329">
        <v>9310</v>
      </c>
      <c r="L167" s="254">
        <v>1.2727999999999999</v>
      </c>
      <c r="M167" s="254">
        <f t="shared" si="9"/>
        <v>11849.768</v>
      </c>
    </row>
    <row r="168" spans="1:13" ht="17.100000000000001" customHeight="1" x14ac:dyDescent="0.25">
      <c r="A168" s="61" t="s">
        <v>452</v>
      </c>
      <c r="B168" s="275" t="s">
        <v>272</v>
      </c>
      <c r="C168" s="61" t="s">
        <v>257</v>
      </c>
      <c r="D168" s="337">
        <v>15</v>
      </c>
      <c r="E168" s="59">
        <v>24946.879999999997</v>
      </c>
      <c r="F168" s="276">
        <f t="shared" si="10"/>
        <v>374203.19999999995</v>
      </c>
      <c r="G168" s="357">
        <v>2</v>
      </c>
      <c r="H168" s="253">
        <v>14000</v>
      </c>
      <c r="I168" s="277">
        <v>1.4</v>
      </c>
      <c r="J168" s="372"/>
      <c r="K168" s="329">
        <v>19600</v>
      </c>
      <c r="L168" s="254">
        <v>1.2727999999999999</v>
      </c>
      <c r="M168" s="254">
        <f t="shared" si="9"/>
        <v>24946.879999999997</v>
      </c>
    </row>
    <row r="169" spans="1:13" ht="17.100000000000001" customHeight="1" x14ac:dyDescent="0.25">
      <c r="A169" s="61" t="s">
        <v>453</v>
      </c>
      <c r="B169" s="275" t="s">
        <v>258</v>
      </c>
      <c r="C169" s="61" t="s">
        <v>257</v>
      </c>
      <c r="D169" s="337">
        <v>6</v>
      </c>
      <c r="E169" s="59">
        <v>6165.4431999999997</v>
      </c>
      <c r="F169" s="276">
        <f t="shared" si="10"/>
        <v>36992.659199999995</v>
      </c>
      <c r="G169" s="357">
        <v>2</v>
      </c>
      <c r="H169" s="253">
        <v>3460</v>
      </c>
      <c r="I169" s="277">
        <v>1.4</v>
      </c>
      <c r="J169" s="372"/>
      <c r="K169" s="329">
        <v>4844</v>
      </c>
      <c r="L169" s="254">
        <v>1.2727999999999999</v>
      </c>
      <c r="M169" s="254">
        <f t="shared" si="9"/>
        <v>6165.4431999999997</v>
      </c>
    </row>
    <row r="170" spans="1:13" ht="17.100000000000001" customHeight="1" x14ac:dyDescent="0.25">
      <c r="A170" s="61" t="s">
        <v>454</v>
      </c>
      <c r="B170" s="275" t="s">
        <v>455</v>
      </c>
      <c r="C170" s="61" t="s">
        <v>204</v>
      </c>
      <c r="D170" s="337">
        <v>245</v>
      </c>
      <c r="E170" s="59">
        <v>26728.799999999999</v>
      </c>
      <c r="F170" s="276">
        <f t="shared" si="10"/>
        <v>6548556</v>
      </c>
      <c r="G170" s="357">
        <v>100</v>
      </c>
      <c r="H170" s="253">
        <v>15000</v>
      </c>
      <c r="I170" s="277">
        <v>1.4</v>
      </c>
      <c r="J170" s="372"/>
      <c r="K170" s="329">
        <v>21000</v>
      </c>
      <c r="L170" s="254">
        <v>1.2727999999999999</v>
      </c>
      <c r="M170" s="254">
        <f t="shared" si="9"/>
        <v>26728.799999999999</v>
      </c>
    </row>
    <row r="171" spans="1:13" ht="17.100000000000001" customHeight="1" x14ac:dyDescent="0.25">
      <c r="A171" s="61" t="s">
        <v>456</v>
      </c>
      <c r="B171" s="275" t="s">
        <v>260</v>
      </c>
      <c r="C171" s="61" t="s">
        <v>204</v>
      </c>
      <c r="D171" s="337">
        <v>1</v>
      </c>
      <c r="E171" s="59">
        <v>440939</v>
      </c>
      <c r="F171" s="276">
        <f t="shared" si="10"/>
        <v>440939</v>
      </c>
      <c r="G171" s="357">
        <v>1</v>
      </c>
      <c r="H171" s="253">
        <v>150000</v>
      </c>
      <c r="I171" s="277">
        <v>1.4</v>
      </c>
      <c r="J171" s="372"/>
      <c r="K171" s="329">
        <v>350000</v>
      </c>
      <c r="L171" s="254">
        <v>1.2727999999999999</v>
      </c>
      <c r="M171" s="254">
        <f t="shared" si="9"/>
        <v>445480</v>
      </c>
    </row>
    <row r="172" spans="1:13" ht="17.100000000000001" customHeight="1" x14ac:dyDescent="0.25">
      <c r="A172" s="61"/>
      <c r="B172" s="275"/>
      <c r="C172" s="61"/>
      <c r="D172" s="337"/>
      <c r="E172" s="59"/>
      <c r="F172" s="278"/>
      <c r="G172" s="358"/>
      <c r="I172" s="277"/>
      <c r="J172" s="372"/>
      <c r="K172" s="329">
        <v>0</v>
      </c>
      <c r="L172" s="254">
        <v>1.2727999999999999</v>
      </c>
      <c r="M172" s="254">
        <f t="shared" si="9"/>
        <v>0</v>
      </c>
    </row>
    <row r="173" spans="1:13" ht="17.100000000000001" customHeight="1" x14ac:dyDescent="0.25">
      <c r="A173" s="280"/>
      <c r="B173" s="281" t="s">
        <v>512</v>
      </c>
      <c r="C173" s="282"/>
      <c r="D173" s="338"/>
      <c r="E173" s="59"/>
      <c r="F173" s="276"/>
      <c r="G173" s="357"/>
      <c r="H173" s="260">
        <v>47476010</v>
      </c>
      <c r="I173" s="277">
        <v>1.2</v>
      </c>
      <c r="J173" s="372"/>
      <c r="K173" s="253">
        <f>+H173*I173</f>
        <v>56971212</v>
      </c>
      <c r="L173" s="254">
        <v>1.2727999999999999</v>
      </c>
      <c r="M173" s="254">
        <f t="shared" si="9"/>
        <v>72512958.633599997</v>
      </c>
    </row>
    <row r="174" spans="1:13" s="352" customFormat="1" ht="17.100000000000001" customHeight="1" x14ac:dyDescent="0.25">
      <c r="A174" s="344"/>
      <c r="B174" s="345" t="s">
        <v>459</v>
      </c>
      <c r="C174" s="346"/>
      <c r="D174" s="347"/>
      <c r="E174" s="348"/>
      <c r="F174" s="348"/>
      <c r="G174" s="367">
        <f>+F173/F192</f>
        <v>0</v>
      </c>
      <c r="H174" s="349"/>
      <c r="I174" s="350"/>
      <c r="J174" s="373"/>
      <c r="K174" s="349"/>
      <c r="L174" s="254">
        <v>1.2727999999999999</v>
      </c>
      <c r="M174" s="254">
        <f t="shared" si="9"/>
        <v>0</v>
      </c>
    </row>
    <row r="175" spans="1:13" s="352" customFormat="1" ht="17.100000000000001" customHeight="1" x14ac:dyDescent="0.25">
      <c r="A175" s="344"/>
      <c r="B175" s="345" t="s">
        <v>460</v>
      </c>
      <c r="C175" s="346"/>
      <c r="D175" s="347"/>
      <c r="E175" s="348"/>
      <c r="F175" s="348"/>
      <c r="G175" s="360"/>
      <c r="H175" s="349"/>
      <c r="I175" s="350"/>
      <c r="J175" s="373"/>
      <c r="K175" s="349"/>
      <c r="L175" s="254">
        <v>1.2727999999999999</v>
      </c>
      <c r="M175" s="254">
        <f t="shared" si="9"/>
        <v>0</v>
      </c>
    </row>
    <row r="176" spans="1:13" s="352" customFormat="1" ht="17.100000000000001" customHeight="1" x14ac:dyDescent="0.25">
      <c r="A176" s="344"/>
      <c r="B176" s="345" t="s">
        <v>461</v>
      </c>
      <c r="C176" s="346"/>
      <c r="D176" s="347"/>
      <c r="E176" s="348"/>
      <c r="F176" s="348"/>
      <c r="G176" s="360"/>
      <c r="H176" s="349"/>
      <c r="I176" s="350"/>
      <c r="J176" s="373"/>
      <c r="K176" s="349"/>
    </row>
    <row r="177" spans="1:11" s="352" customFormat="1" ht="17.100000000000001" customHeight="1" x14ac:dyDescent="0.25">
      <c r="A177" s="344"/>
      <c r="B177" s="345" t="s">
        <v>462</v>
      </c>
      <c r="C177" s="346"/>
      <c r="D177" s="347"/>
      <c r="E177" s="348"/>
      <c r="F177" s="348"/>
      <c r="G177" s="360"/>
      <c r="H177" s="349"/>
      <c r="I177" s="350"/>
      <c r="J177" s="373"/>
      <c r="K177" s="349"/>
    </row>
    <row r="178" spans="1:11" s="352" customFormat="1" ht="17.100000000000001" customHeight="1" x14ac:dyDescent="0.25">
      <c r="A178" s="344"/>
      <c r="B178" s="345" t="s">
        <v>463</v>
      </c>
      <c r="C178" s="346"/>
      <c r="D178" s="347"/>
      <c r="E178" s="348"/>
      <c r="F178" s="348"/>
      <c r="G178" s="360"/>
      <c r="H178" s="349"/>
      <c r="I178" s="350"/>
      <c r="J178" s="373"/>
      <c r="K178" s="349"/>
    </row>
    <row r="179" spans="1:11" s="352" customFormat="1" ht="17.100000000000001" customHeight="1" x14ac:dyDescent="0.25">
      <c r="A179" s="344"/>
      <c r="B179" s="345" t="s">
        <v>464</v>
      </c>
      <c r="C179" s="346"/>
      <c r="D179" s="347"/>
      <c r="E179" s="348"/>
      <c r="F179" s="348"/>
      <c r="G179" s="360"/>
      <c r="H179" s="349"/>
      <c r="I179" s="350"/>
      <c r="J179" s="373"/>
      <c r="K179" s="349"/>
    </row>
    <row r="180" spans="1:11" s="352" customFormat="1" ht="17.100000000000001" customHeight="1" x14ac:dyDescent="0.25">
      <c r="A180" s="344"/>
      <c r="B180" s="345" t="s">
        <v>465</v>
      </c>
      <c r="C180" s="346"/>
      <c r="D180" s="347"/>
      <c r="E180" s="348"/>
      <c r="F180" s="348"/>
      <c r="G180" s="360"/>
      <c r="H180" s="349"/>
      <c r="I180" s="350"/>
      <c r="J180" s="373"/>
      <c r="K180" s="349"/>
    </row>
    <row r="181" spans="1:11" s="352" customFormat="1" ht="17.100000000000001" customHeight="1" x14ac:dyDescent="0.25">
      <c r="A181" s="344"/>
      <c r="B181" s="345" t="s">
        <v>466</v>
      </c>
      <c r="C181" s="346"/>
      <c r="D181" s="347"/>
      <c r="E181" s="348"/>
      <c r="F181" s="348"/>
      <c r="G181" s="360"/>
      <c r="H181" s="349"/>
      <c r="I181" s="350"/>
      <c r="J181" s="373"/>
      <c r="K181" s="349"/>
    </row>
    <row r="182" spans="1:11" s="352" customFormat="1" ht="17.100000000000001" customHeight="1" x14ac:dyDescent="0.25">
      <c r="A182" s="344"/>
      <c r="B182" s="345" t="s">
        <v>467</v>
      </c>
      <c r="C182" s="346"/>
      <c r="D182" s="347"/>
      <c r="E182" s="348"/>
      <c r="F182" s="348"/>
      <c r="G182" s="360"/>
      <c r="H182" s="349"/>
      <c r="I182" s="350"/>
      <c r="J182" s="373"/>
      <c r="K182" s="349"/>
    </row>
    <row r="183" spans="1:11" s="352" customFormat="1" ht="17.100000000000001" customHeight="1" x14ac:dyDescent="0.25">
      <c r="A183" s="344"/>
      <c r="B183" s="345" t="s">
        <v>468</v>
      </c>
      <c r="C183" s="346"/>
      <c r="D183" s="347"/>
      <c r="E183" s="348"/>
      <c r="F183" s="348"/>
      <c r="G183" s="360"/>
      <c r="H183" s="349"/>
      <c r="I183" s="350"/>
      <c r="J183" s="373"/>
      <c r="K183" s="349"/>
    </row>
    <row r="184" spans="1:11" s="352" customFormat="1" ht="17.100000000000001" customHeight="1" x14ac:dyDescent="0.25">
      <c r="A184" s="344"/>
      <c r="B184" s="345"/>
      <c r="C184" s="346"/>
      <c r="D184" s="347"/>
      <c r="E184" s="348"/>
      <c r="F184" s="348"/>
      <c r="G184" s="360"/>
      <c r="H184" s="349"/>
      <c r="I184" s="350"/>
      <c r="J184" s="373"/>
      <c r="K184" s="349"/>
    </row>
    <row r="185" spans="1:11" ht="17.100000000000001" customHeight="1" x14ac:dyDescent="0.25">
      <c r="A185" s="280"/>
      <c r="B185" s="281" t="s">
        <v>469</v>
      </c>
      <c r="C185" s="282"/>
      <c r="D185" s="338"/>
      <c r="E185" s="284"/>
      <c r="F185" s="284"/>
      <c r="G185" s="361"/>
      <c r="H185" s="260"/>
      <c r="I185" s="277"/>
      <c r="J185" s="372"/>
      <c r="K185" s="253"/>
    </row>
    <row r="186" spans="1:11" ht="17.100000000000001" customHeight="1" x14ac:dyDescent="0.25">
      <c r="A186" s="280"/>
      <c r="B186" s="295" t="s">
        <v>507</v>
      </c>
      <c r="C186" s="296"/>
      <c r="D186" s="340"/>
      <c r="E186" s="284"/>
      <c r="F186" s="284"/>
      <c r="G186" s="361"/>
      <c r="H186" s="260"/>
      <c r="I186" s="277"/>
      <c r="J186" s="372"/>
      <c r="K186" s="253"/>
    </row>
    <row r="187" spans="1:11" s="306" customFormat="1" ht="17.100000000000001" customHeight="1" x14ac:dyDescent="0.25">
      <c r="A187" s="298"/>
      <c r="B187" s="394" t="s">
        <v>508</v>
      </c>
      <c r="C187" s="300"/>
      <c r="D187" s="341"/>
      <c r="E187" s="302"/>
      <c r="F187" s="302"/>
      <c r="G187" s="362"/>
      <c r="H187" s="303"/>
      <c r="I187" s="304"/>
      <c r="J187" s="374"/>
      <c r="K187" s="303"/>
    </row>
    <row r="188" spans="1:11" ht="17.100000000000001" customHeight="1" x14ac:dyDescent="0.25">
      <c r="A188" s="280"/>
      <c r="B188" s="307" t="s">
        <v>473</v>
      </c>
      <c r="C188" s="296"/>
      <c r="D188" s="340"/>
      <c r="E188" s="284"/>
      <c r="F188" s="284"/>
      <c r="G188" s="361"/>
      <c r="H188" s="260"/>
      <c r="I188" s="277"/>
      <c r="J188" s="372"/>
      <c r="K188" s="253"/>
    </row>
    <row r="189" spans="1:11" ht="17.100000000000001" customHeight="1" x14ac:dyDescent="0.25">
      <c r="A189" s="308"/>
      <c r="B189" s="309"/>
      <c r="C189" s="296"/>
      <c r="D189" s="342"/>
      <c r="E189" s="311"/>
      <c r="F189" s="284"/>
      <c r="G189" s="361"/>
      <c r="H189" s="260"/>
      <c r="I189" s="277"/>
      <c r="J189" s="372"/>
      <c r="K189" s="253"/>
    </row>
    <row r="190" spans="1:11" ht="17.100000000000001" customHeight="1" x14ac:dyDescent="0.25">
      <c r="A190" s="200"/>
      <c r="B190" s="312"/>
      <c r="C190" s="313"/>
      <c r="D190" s="339"/>
      <c r="E190" s="315"/>
      <c r="F190" s="316"/>
      <c r="G190" s="363"/>
    </row>
    <row r="191" spans="1:11" ht="17.100000000000001" customHeight="1" x14ac:dyDescent="0.25">
      <c r="A191" s="317"/>
      <c r="B191" s="318"/>
      <c r="C191" s="319"/>
      <c r="D191" s="343"/>
      <c r="E191" s="321"/>
      <c r="F191" s="322"/>
      <c r="G191" s="363"/>
      <c r="H191" s="323"/>
    </row>
    <row r="192" spans="1:11" s="100" customFormat="1" ht="17.100000000000001" customHeight="1" x14ac:dyDescent="0.25">
      <c r="A192" s="453" t="s">
        <v>474</v>
      </c>
      <c r="B192" s="453"/>
      <c r="C192" s="453"/>
      <c r="D192" s="453"/>
      <c r="E192" s="453"/>
      <c r="F192" s="324">
        <f>SUM(F17:F190)</f>
        <v>968214146.86544037</v>
      </c>
      <c r="G192" s="365"/>
      <c r="H192" s="260"/>
      <c r="J192" s="369"/>
      <c r="K192" s="264"/>
    </row>
    <row r="193" spans="1:11" s="100" customFormat="1" ht="17.100000000000001" customHeight="1" x14ac:dyDescent="0.25">
      <c r="A193" s="453" t="s">
        <v>475</v>
      </c>
      <c r="B193" s="453"/>
      <c r="C193" s="453"/>
      <c r="D193" s="453"/>
      <c r="E193" s="453"/>
      <c r="F193" s="325">
        <f>+F192*0.18</f>
        <v>174278546.43577927</v>
      </c>
      <c r="G193" s="366"/>
      <c r="H193" s="260"/>
      <c r="J193" s="369"/>
      <c r="K193" s="264"/>
    </row>
    <row r="194" spans="1:11" s="100" customFormat="1" ht="17.100000000000001" customHeight="1" x14ac:dyDescent="0.25">
      <c r="A194" s="453" t="s">
        <v>476</v>
      </c>
      <c r="B194" s="453"/>
      <c r="C194" s="453"/>
      <c r="D194" s="453"/>
      <c r="E194" s="453"/>
      <c r="F194" s="324">
        <f>SUM(F192:F193)</f>
        <v>1142492693.3012197</v>
      </c>
      <c r="G194" s="364"/>
      <c r="H194" s="260"/>
      <c r="J194" s="369"/>
      <c r="K194" s="264"/>
    </row>
    <row r="195" spans="1:11" s="100" customFormat="1" ht="17.100000000000001" customHeight="1" x14ac:dyDescent="0.25">
      <c r="D195" s="161"/>
      <c r="E195" s="260"/>
      <c r="F195" s="264"/>
      <c r="G195" s="264"/>
      <c r="H195" s="260"/>
      <c r="J195" s="369"/>
      <c r="K195" s="264"/>
    </row>
    <row r="196" spans="1:11" s="100" customFormat="1" ht="17.100000000000001" customHeight="1" x14ac:dyDescent="0.25">
      <c r="A196" s="395" t="s">
        <v>477</v>
      </c>
      <c r="D196" s="161"/>
      <c r="E196" s="260"/>
      <c r="F196" s="264"/>
      <c r="G196" s="264"/>
      <c r="H196" s="260"/>
      <c r="J196" s="369"/>
      <c r="K196" s="264"/>
    </row>
    <row r="197" spans="1:11" s="100" customFormat="1" ht="17.100000000000001" customHeight="1" x14ac:dyDescent="0.25">
      <c r="A197" s="125" t="s">
        <v>509</v>
      </c>
      <c r="D197" s="161"/>
      <c r="E197" s="260"/>
      <c r="F197" s="264"/>
      <c r="G197" s="264"/>
      <c r="H197" s="260"/>
      <c r="J197" s="369"/>
      <c r="K197" s="264"/>
    </row>
    <row r="198" spans="1:11" s="100" customFormat="1" ht="17.100000000000001" customHeight="1" x14ac:dyDescent="0.25">
      <c r="D198" s="161"/>
      <c r="E198" s="260"/>
      <c r="F198" s="264"/>
      <c r="G198" s="264"/>
      <c r="H198" s="260"/>
      <c r="J198" s="369"/>
      <c r="K198" s="264"/>
    </row>
    <row r="199" spans="1:11" s="100" customFormat="1" ht="17.100000000000001" customHeight="1" x14ac:dyDescent="0.25">
      <c r="D199" s="161"/>
      <c r="E199" s="260"/>
      <c r="F199" s="264"/>
      <c r="G199" s="264"/>
      <c r="H199" s="260"/>
      <c r="J199" s="369"/>
      <c r="K199" s="264"/>
    </row>
    <row r="200" spans="1:11" s="100" customFormat="1" ht="17.100000000000001" customHeight="1" x14ac:dyDescent="0.25">
      <c r="A200" s="327" t="s">
        <v>478</v>
      </c>
      <c r="D200" s="161"/>
      <c r="E200" s="260"/>
      <c r="F200" s="264"/>
      <c r="G200" s="264"/>
      <c r="H200" s="260"/>
      <c r="J200" s="369"/>
      <c r="K200" s="264"/>
    </row>
    <row r="201" spans="1:11" s="100" customFormat="1" ht="17.100000000000001" customHeight="1" x14ac:dyDescent="0.25">
      <c r="D201" s="161"/>
      <c r="E201" s="260"/>
      <c r="F201" s="264"/>
      <c r="G201" s="264"/>
      <c r="H201" s="260"/>
      <c r="J201" s="369"/>
      <c r="K201" s="264"/>
    </row>
    <row r="202" spans="1:11" ht="17.100000000000001" customHeight="1" x14ac:dyDescent="0.25"/>
    <row r="203" spans="1:11" ht="17.100000000000001" customHeight="1" x14ac:dyDescent="0.25"/>
    <row r="204" spans="1:11" ht="17.100000000000001" customHeight="1" x14ac:dyDescent="0.25"/>
    <row r="205" spans="1:11" ht="17.100000000000001" customHeight="1" x14ac:dyDescent="0.25"/>
    <row r="206" spans="1:11" ht="17.100000000000001" customHeight="1" x14ac:dyDescent="0.25"/>
    <row r="207" spans="1:11" ht="17.100000000000001" customHeight="1" x14ac:dyDescent="0.25"/>
    <row r="208" spans="1:11" ht="17.100000000000001" customHeight="1" x14ac:dyDescent="0.25"/>
    <row r="209" ht="17.100000000000001" customHeight="1" x14ac:dyDescent="0.25"/>
    <row r="210" ht="17.100000000000001" customHeight="1" x14ac:dyDescent="0.25"/>
    <row r="211" ht="17.100000000000001" customHeight="1" x14ac:dyDescent="0.25"/>
    <row r="212" ht="17.100000000000001" customHeight="1" x14ac:dyDescent="0.25"/>
    <row r="213" ht="17.100000000000001" customHeight="1" x14ac:dyDescent="0.25"/>
    <row r="214" ht="17.100000000000001" customHeight="1" x14ac:dyDescent="0.25"/>
    <row r="215" ht="17.100000000000001" customHeight="1" x14ac:dyDescent="0.25"/>
    <row r="216" ht="17.100000000000001" customHeight="1" x14ac:dyDescent="0.25"/>
    <row r="217" ht="17.100000000000001" customHeight="1" x14ac:dyDescent="0.25"/>
    <row r="218" ht="17.100000000000001" customHeight="1" x14ac:dyDescent="0.25"/>
    <row r="219" ht="17.100000000000001" customHeight="1" x14ac:dyDescent="0.25"/>
    <row r="220" ht="17.100000000000001" customHeight="1" x14ac:dyDescent="0.25"/>
    <row r="221" ht="17.100000000000001" customHeight="1" x14ac:dyDescent="0.25"/>
    <row r="222" ht="17.100000000000001" customHeight="1" x14ac:dyDescent="0.25"/>
    <row r="223" ht="17.100000000000001" customHeight="1" x14ac:dyDescent="0.25"/>
    <row r="224" ht="17.100000000000001" customHeight="1" x14ac:dyDescent="0.25"/>
    <row r="225" ht="17.100000000000001" customHeight="1" x14ac:dyDescent="0.25"/>
    <row r="226" ht="17.100000000000001" customHeight="1" x14ac:dyDescent="0.25"/>
    <row r="227" ht="17.100000000000001" customHeight="1" x14ac:dyDescent="0.25"/>
  </sheetData>
  <mergeCells count="3">
    <mergeCell ref="A192:E192"/>
    <mergeCell ref="A193:E193"/>
    <mergeCell ref="A194:E194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0" orientation="portrait" r:id="rId1"/>
  <colBreaks count="1" manualBreakCount="1">
    <brk id="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C7E0F-F5F8-4701-878A-BFE1233830EC}">
  <dimension ref="A1:O305"/>
  <sheetViews>
    <sheetView topLeftCell="A275" zoomScaleNormal="100" zoomScaleSheetLayoutView="70" workbookViewId="0">
      <selection activeCell="F298" sqref="F298"/>
    </sheetView>
  </sheetViews>
  <sheetFormatPr baseColWidth="10" defaultColWidth="9.140625" defaultRowHeight="15.75" x14ac:dyDescent="0.25"/>
  <cols>
    <col min="1" max="1" width="8.42578125" style="328" customWidth="1"/>
    <col min="2" max="2" width="60.85546875" style="254" customWidth="1"/>
    <col min="3" max="3" width="7.85546875" style="254" customWidth="1"/>
    <col min="4" max="4" width="13.28515625" style="285" customWidth="1"/>
    <col min="5" max="5" width="14.140625" style="253" customWidth="1"/>
    <col min="6" max="6" width="20.42578125" style="329" customWidth="1"/>
    <col min="7" max="7" width="19.85546875" style="253" customWidth="1"/>
    <col min="8" max="8" width="20.42578125" style="253" customWidth="1"/>
    <col min="9" max="9" width="9.140625" style="254"/>
    <col min="10" max="10" width="5.85546875" style="368" customWidth="1"/>
    <col min="11" max="11" width="15.140625" style="329" customWidth="1"/>
    <col min="12" max="12" width="9.7109375" style="254" customWidth="1"/>
    <col min="13" max="13" width="13.5703125" style="440" customWidth="1"/>
    <col min="14" max="14" width="9.140625" style="254"/>
    <col min="15" max="15" width="10.42578125" style="254" bestFit="1" customWidth="1"/>
    <col min="16" max="258" width="9.140625" style="254"/>
    <col min="259" max="259" width="8.42578125" style="254" customWidth="1"/>
    <col min="260" max="260" width="54.7109375" style="254" customWidth="1"/>
    <col min="261" max="261" width="7.85546875" style="254" customWidth="1"/>
    <col min="262" max="262" width="10" style="254" customWidth="1"/>
    <col min="263" max="263" width="20.5703125" style="254" customWidth="1"/>
    <col min="264" max="264" width="15.7109375" style="254" bestFit="1" customWidth="1"/>
    <col min="265" max="265" width="14.5703125" style="254" bestFit="1" customWidth="1"/>
    <col min="266" max="514" width="9.140625" style="254"/>
    <col min="515" max="515" width="8.42578125" style="254" customWidth="1"/>
    <col min="516" max="516" width="54.7109375" style="254" customWidth="1"/>
    <col min="517" max="517" width="7.85546875" style="254" customWidth="1"/>
    <col min="518" max="518" width="10" style="254" customWidth="1"/>
    <col min="519" max="519" width="20.5703125" style="254" customWidth="1"/>
    <col min="520" max="520" width="15.7109375" style="254" bestFit="1" customWidth="1"/>
    <col min="521" max="521" width="14.5703125" style="254" bestFit="1" customWidth="1"/>
    <col min="522" max="770" width="9.140625" style="254"/>
    <col min="771" max="771" width="8.42578125" style="254" customWidth="1"/>
    <col min="772" max="772" width="54.7109375" style="254" customWidth="1"/>
    <col min="773" max="773" width="7.85546875" style="254" customWidth="1"/>
    <col min="774" max="774" width="10" style="254" customWidth="1"/>
    <col min="775" max="775" width="20.5703125" style="254" customWidth="1"/>
    <col min="776" max="776" width="15.7109375" style="254" bestFit="1" customWidth="1"/>
    <col min="777" max="777" width="14.5703125" style="254" bestFit="1" customWidth="1"/>
    <col min="778" max="1026" width="9.140625" style="254"/>
    <col min="1027" max="1027" width="8.42578125" style="254" customWidth="1"/>
    <col min="1028" max="1028" width="54.7109375" style="254" customWidth="1"/>
    <col min="1029" max="1029" width="7.85546875" style="254" customWidth="1"/>
    <col min="1030" max="1030" width="10" style="254" customWidth="1"/>
    <col min="1031" max="1031" width="20.5703125" style="254" customWidth="1"/>
    <col min="1032" max="1032" width="15.7109375" style="254" bestFit="1" customWidth="1"/>
    <col min="1033" max="1033" width="14.5703125" style="254" bestFit="1" customWidth="1"/>
    <col min="1034" max="1282" width="9.140625" style="254"/>
    <col min="1283" max="1283" width="8.42578125" style="254" customWidth="1"/>
    <col min="1284" max="1284" width="54.7109375" style="254" customWidth="1"/>
    <col min="1285" max="1285" width="7.85546875" style="254" customWidth="1"/>
    <col min="1286" max="1286" width="10" style="254" customWidth="1"/>
    <col min="1287" max="1287" width="20.5703125" style="254" customWidth="1"/>
    <col min="1288" max="1288" width="15.7109375" style="254" bestFit="1" customWidth="1"/>
    <col min="1289" max="1289" width="14.5703125" style="254" bestFit="1" customWidth="1"/>
    <col min="1290" max="1538" width="9.140625" style="254"/>
    <col min="1539" max="1539" width="8.42578125" style="254" customWidth="1"/>
    <col min="1540" max="1540" width="54.7109375" style="254" customWidth="1"/>
    <col min="1541" max="1541" width="7.85546875" style="254" customWidth="1"/>
    <col min="1542" max="1542" width="10" style="254" customWidth="1"/>
    <col min="1543" max="1543" width="20.5703125" style="254" customWidth="1"/>
    <col min="1544" max="1544" width="15.7109375" style="254" bestFit="1" customWidth="1"/>
    <col min="1545" max="1545" width="14.5703125" style="254" bestFit="1" customWidth="1"/>
    <col min="1546" max="1794" width="9.140625" style="254"/>
    <col min="1795" max="1795" width="8.42578125" style="254" customWidth="1"/>
    <col min="1796" max="1796" width="54.7109375" style="254" customWidth="1"/>
    <col min="1797" max="1797" width="7.85546875" style="254" customWidth="1"/>
    <col min="1798" max="1798" width="10" style="254" customWidth="1"/>
    <col min="1799" max="1799" width="20.5703125" style="254" customWidth="1"/>
    <col min="1800" max="1800" width="15.7109375" style="254" bestFit="1" customWidth="1"/>
    <col min="1801" max="1801" width="14.5703125" style="254" bestFit="1" customWidth="1"/>
    <col min="1802" max="2050" width="9.140625" style="254"/>
    <col min="2051" max="2051" width="8.42578125" style="254" customWidth="1"/>
    <col min="2052" max="2052" width="54.7109375" style="254" customWidth="1"/>
    <col min="2053" max="2053" width="7.85546875" style="254" customWidth="1"/>
    <col min="2054" max="2054" width="10" style="254" customWidth="1"/>
    <col min="2055" max="2055" width="20.5703125" style="254" customWidth="1"/>
    <col min="2056" max="2056" width="15.7109375" style="254" bestFit="1" customWidth="1"/>
    <col min="2057" max="2057" width="14.5703125" style="254" bestFit="1" customWidth="1"/>
    <col min="2058" max="2306" width="9.140625" style="254"/>
    <col min="2307" max="2307" width="8.42578125" style="254" customWidth="1"/>
    <col min="2308" max="2308" width="54.7109375" style="254" customWidth="1"/>
    <col min="2309" max="2309" width="7.85546875" style="254" customWidth="1"/>
    <col min="2310" max="2310" width="10" style="254" customWidth="1"/>
    <col min="2311" max="2311" width="20.5703125" style="254" customWidth="1"/>
    <col min="2312" max="2312" width="15.7109375" style="254" bestFit="1" customWidth="1"/>
    <col min="2313" max="2313" width="14.5703125" style="254" bestFit="1" customWidth="1"/>
    <col min="2314" max="2562" width="9.140625" style="254"/>
    <col min="2563" max="2563" width="8.42578125" style="254" customWidth="1"/>
    <col min="2564" max="2564" width="54.7109375" style="254" customWidth="1"/>
    <col min="2565" max="2565" width="7.85546875" style="254" customWidth="1"/>
    <col min="2566" max="2566" width="10" style="254" customWidth="1"/>
    <col min="2567" max="2567" width="20.5703125" style="254" customWidth="1"/>
    <col min="2568" max="2568" width="15.7109375" style="254" bestFit="1" customWidth="1"/>
    <col min="2569" max="2569" width="14.5703125" style="254" bestFit="1" customWidth="1"/>
    <col min="2570" max="2818" width="9.140625" style="254"/>
    <col min="2819" max="2819" width="8.42578125" style="254" customWidth="1"/>
    <col min="2820" max="2820" width="54.7109375" style="254" customWidth="1"/>
    <col min="2821" max="2821" width="7.85546875" style="254" customWidth="1"/>
    <col min="2822" max="2822" width="10" style="254" customWidth="1"/>
    <col min="2823" max="2823" width="20.5703125" style="254" customWidth="1"/>
    <col min="2824" max="2824" width="15.7109375" style="254" bestFit="1" customWidth="1"/>
    <col min="2825" max="2825" width="14.5703125" style="254" bestFit="1" customWidth="1"/>
    <col min="2826" max="3074" width="9.140625" style="254"/>
    <col min="3075" max="3075" width="8.42578125" style="254" customWidth="1"/>
    <col min="3076" max="3076" width="54.7109375" style="254" customWidth="1"/>
    <col min="3077" max="3077" width="7.85546875" style="254" customWidth="1"/>
    <col min="3078" max="3078" width="10" style="254" customWidth="1"/>
    <col min="3079" max="3079" width="20.5703125" style="254" customWidth="1"/>
    <col min="3080" max="3080" width="15.7109375" style="254" bestFit="1" customWidth="1"/>
    <col min="3081" max="3081" width="14.5703125" style="254" bestFit="1" customWidth="1"/>
    <col min="3082" max="3330" width="9.140625" style="254"/>
    <col min="3331" max="3331" width="8.42578125" style="254" customWidth="1"/>
    <col min="3332" max="3332" width="54.7109375" style="254" customWidth="1"/>
    <col min="3333" max="3333" width="7.85546875" style="254" customWidth="1"/>
    <col min="3334" max="3334" width="10" style="254" customWidth="1"/>
    <col min="3335" max="3335" width="20.5703125" style="254" customWidth="1"/>
    <col min="3336" max="3336" width="15.7109375" style="254" bestFit="1" customWidth="1"/>
    <col min="3337" max="3337" width="14.5703125" style="254" bestFit="1" customWidth="1"/>
    <col min="3338" max="3586" width="9.140625" style="254"/>
    <col min="3587" max="3587" width="8.42578125" style="254" customWidth="1"/>
    <col min="3588" max="3588" width="54.7109375" style="254" customWidth="1"/>
    <col min="3589" max="3589" width="7.85546875" style="254" customWidth="1"/>
    <col min="3590" max="3590" width="10" style="254" customWidth="1"/>
    <col min="3591" max="3591" width="20.5703125" style="254" customWidth="1"/>
    <col min="3592" max="3592" width="15.7109375" style="254" bestFit="1" customWidth="1"/>
    <col min="3593" max="3593" width="14.5703125" style="254" bestFit="1" customWidth="1"/>
    <col min="3594" max="3842" width="9.140625" style="254"/>
    <col min="3843" max="3843" width="8.42578125" style="254" customWidth="1"/>
    <col min="3844" max="3844" width="54.7109375" style="254" customWidth="1"/>
    <col min="3845" max="3845" width="7.85546875" style="254" customWidth="1"/>
    <col min="3846" max="3846" width="10" style="254" customWidth="1"/>
    <col min="3847" max="3847" width="20.5703125" style="254" customWidth="1"/>
    <col min="3848" max="3848" width="15.7109375" style="254" bestFit="1" customWidth="1"/>
    <col min="3849" max="3849" width="14.5703125" style="254" bestFit="1" customWidth="1"/>
    <col min="3850" max="4098" width="9.140625" style="254"/>
    <col min="4099" max="4099" width="8.42578125" style="254" customWidth="1"/>
    <col min="4100" max="4100" width="54.7109375" style="254" customWidth="1"/>
    <col min="4101" max="4101" width="7.85546875" style="254" customWidth="1"/>
    <col min="4102" max="4102" width="10" style="254" customWidth="1"/>
    <col min="4103" max="4103" width="20.5703125" style="254" customWidth="1"/>
    <col min="4104" max="4104" width="15.7109375" style="254" bestFit="1" customWidth="1"/>
    <col min="4105" max="4105" width="14.5703125" style="254" bestFit="1" customWidth="1"/>
    <col min="4106" max="4354" width="9.140625" style="254"/>
    <col min="4355" max="4355" width="8.42578125" style="254" customWidth="1"/>
    <col min="4356" max="4356" width="54.7109375" style="254" customWidth="1"/>
    <col min="4357" max="4357" width="7.85546875" style="254" customWidth="1"/>
    <col min="4358" max="4358" width="10" style="254" customWidth="1"/>
    <col min="4359" max="4359" width="20.5703125" style="254" customWidth="1"/>
    <col min="4360" max="4360" width="15.7109375" style="254" bestFit="1" customWidth="1"/>
    <col min="4361" max="4361" width="14.5703125" style="254" bestFit="1" customWidth="1"/>
    <col min="4362" max="4610" width="9.140625" style="254"/>
    <col min="4611" max="4611" width="8.42578125" style="254" customWidth="1"/>
    <col min="4612" max="4612" width="54.7109375" style="254" customWidth="1"/>
    <col min="4613" max="4613" width="7.85546875" style="254" customWidth="1"/>
    <col min="4614" max="4614" width="10" style="254" customWidth="1"/>
    <col min="4615" max="4615" width="20.5703125" style="254" customWidth="1"/>
    <col min="4616" max="4616" width="15.7109375" style="254" bestFit="1" customWidth="1"/>
    <col min="4617" max="4617" width="14.5703125" style="254" bestFit="1" customWidth="1"/>
    <col min="4618" max="4866" width="9.140625" style="254"/>
    <col min="4867" max="4867" width="8.42578125" style="254" customWidth="1"/>
    <col min="4868" max="4868" width="54.7109375" style="254" customWidth="1"/>
    <col min="4869" max="4869" width="7.85546875" style="254" customWidth="1"/>
    <col min="4870" max="4870" width="10" style="254" customWidth="1"/>
    <col min="4871" max="4871" width="20.5703125" style="254" customWidth="1"/>
    <col min="4872" max="4872" width="15.7109375" style="254" bestFit="1" customWidth="1"/>
    <col min="4873" max="4873" width="14.5703125" style="254" bestFit="1" customWidth="1"/>
    <col min="4874" max="5122" width="9.140625" style="254"/>
    <col min="5123" max="5123" width="8.42578125" style="254" customWidth="1"/>
    <col min="5124" max="5124" width="54.7109375" style="254" customWidth="1"/>
    <col min="5125" max="5125" width="7.85546875" style="254" customWidth="1"/>
    <col min="5126" max="5126" width="10" style="254" customWidth="1"/>
    <col min="5127" max="5127" width="20.5703125" style="254" customWidth="1"/>
    <col min="5128" max="5128" width="15.7109375" style="254" bestFit="1" customWidth="1"/>
    <col min="5129" max="5129" width="14.5703125" style="254" bestFit="1" customWidth="1"/>
    <col min="5130" max="5378" width="9.140625" style="254"/>
    <col min="5379" max="5379" width="8.42578125" style="254" customWidth="1"/>
    <col min="5380" max="5380" width="54.7109375" style="254" customWidth="1"/>
    <col min="5381" max="5381" width="7.85546875" style="254" customWidth="1"/>
    <col min="5382" max="5382" width="10" style="254" customWidth="1"/>
    <col min="5383" max="5383" width="20.5703125" style="254" customWidth="1"/>
    <col min="5384" max="5384" width="15.7109375" style="254" bestFit="1" customWidth="1"/>
    <col min="5385" max="5385" width="14.5703125" style="254" bestFit="1" customWidth="1"/>
    <col min="5386" max="5634" width="9.140625" style="254"/>
    <col min="5635" max="5635" width="8.42578125" style="254" customWidth="1"/>
    <col min="5636" max="5636" width="54.7109375" style="254" customWidth="1"/>
    <col min="5637" max="5637" width="7.85546875" style="254" customWidth="1"/>
    <col min="5638" max="5638" width="10" style="254" customWidth="1"/>
    <col min="5639" max="5639" width="20.5703125" style="254" customWidth="1"/>
    <col min="5640" max="5640" width="15.7109375" style="254" bestFit="1" customWidth="1"/>
    <col min="5641" max="5641" width="14.5703125" style="254" bestFit="1" customWidth="1"/>
    <col min="5642" max="5890" width="9.140625" style="254"/>
    <col min="5891" max="5891" width="8.42578125" style="254" customWidth="1"/>
    <col min="5892" max="5892" width="54.7109375" style="254" customWidth="1"/>
    <col min="5893" max="5893" width="7.85546875" style="254" customWidth="1"/>
    <col min="5894" max="5894" width="10" style="254" customWidth="1"/>
    <col min="5895" max="5895" width="20.5703125" style="254" customWidth="1"/>
    <col min="5896" max="5896" width="15.7109375" style="254" bestFit="1" customWidth="1"/>
    <col min="5897" max="5897" width="14.5703125" style="254" bestFit="1" customWidth="1"/>
    <col min="5898" max="6146" width="9.140625" style="254"/>
    <col min="6147" max="6147" width="8.42578125" style="254" customWidth="1"/>
    <col min="6148" max="6148" width="54.7109375" style="254" customWidth="1"/>
    <col min="6149" max="6149" width="7.85546875" style="254" customWidth="1"/>
    <col min="6150" max="6150" width="10" style="254" customWidth="1"/>
    <col min="6151" max="6151" width="20.5703125" style="254" customWidth="1"/>
    <col min="6152" max="6152" width="15.7109375" style="254" bestFit="1" customWidth="1"/>
    <col min="6153" max="6153" width="14.5703125" style="254" bestFit="1" customWidth="1"/>
    <col min="6154" max="6402" width="9.140625" style="254"/>
    <col min="6403" max="6403" width="8.42578125" style="254" customWidth="1"/>
    <col min="6404" max="6404" width="54.7109375" style="254" customWidth="1"/>
    <col min="6405" max="6405" width="7.85546875" style="254" customWidth="1"/>
    <col min="6406" max="6406" width="10" style="254" customWidth="1"/>
    <col min="6407" max="6407" width="20.5703125" style="254" customWidth="1"/>
    <col min="6408" max="6408" width="15.7109375" style="254" bestFit="1" customWidth="1"/>
    <col min="6409" max="6409" width="14.5703125" style="254" bestFit="1" customWidth="1"/>
    <col min="6410" max="6658" width="9.140625" style="254"/>
    <col min="6659" max="6659" width="8.42578125" style="254" customWidth="1"/>
    <col min="6660" max="6660" width="54.7109375" style="254" customWidth="1"/>
    <col min="6661" max="6661" width="7.85546875" style="254" customWidth="1"/>
    <col min="6662" max="6662" width="10" style="254" customWidth="1"/>
    <col min="6663" max="6663" width="20.5703125" style="254" customWidth="1"/>
    <col min="6664" max="6664" width="15.7109375" style="254" bestFit="1" customWidth="1"/>
    <col min="6665" max="6665" width="14.5703125" style="254" bestFit="1" customWidth="1"/>
    <col min="6666" max="6914" width="9.140625" style="254"/>
    <col min="6915" max="6915" width="8.42578125" style="254" customWidth="1"/>
    <col min="6916" max="6916" width="54.7109375" style="254" customWidth="1"/>
    <col min="6917" max="6917" width="7.85546875" style="254" customWidth="1"/>
    <col min="6918" max="6918" width="10" style="254" customWidth="1"/>
    <col min="6919" max="6919" width="20.5703125" style="254" customWidth="1"/>
    <col min="6920" max="6920" width="15.7109375" style="254" bestFit="1" customWidth="1"/>
    <col min="6921" max="6921" width="14.5703125" style="254" bestFit="1" customWidth="1"/>
    <col min="6922" max="7170" width="9.140625" style="254"/>
    <col min="7171" max="7171" width="8.42578125" style="254" customWidth="1"/>
    <col min="7172" max="7172" width="54.7109375" style="254" customWidth="1"/>
    <col min="7173" max="7173" width="7.85546875" style="254" customWidth="1"/>
    <col min="7174" max="7174" width="10" style="254" customWidth="1"/>
    <col min="7175" max="7175" width="20.5703125" style="254" customWidth="1"/>
    <col min="7176" max="7176" width="15.7109375" style="254" bestFit="1" customWidth="1"/>
    <col min="7177" max="7177" width="14.5703125" style="254" bestFit="1" customWidth="1"/>
    <col min="7178" max="7426" width="9.140625" style="254"/>
    <col min="7427" max="7427" width="8.42578125" style="254" customWidth="1"/>
    <col min="7428" max="7428" width="54.7109375" style="254" customWidth="1"/>
    <col min="7429" max="7429" width="7.85546875" style="254" customWidth="1"/>
    <col min="7430" max="7430" width="10" style="254" customWidth="1"/>
    <col min="7431" max="7431" width="20.5703125" style="254" customWidth="1"/>
    <col min="7432" max="7432" width="15.7109375" style="254" bestFit="1" customWidth="1"/>
    <col min="7433" max="7433" width="14.5703125" style="254" bestFit="1" customWidth="1"/>
    <col min="7434" max="7682" width="9.140625" style="254"/>
    <col min="7683" max="7683" width="8.42578125" style="254" customWidth="1"/>
    <col min="7684" max="7684" width="54.7109375" style="254" customWidth="1"/>
    <col min="7685" max="7685" width="7.85546875" style="254" customWidth="1"/>
    <col min="7686" max="7686" width="10" style="254" customWidth="1"/>
    <col min="7687" max="7687" width="20.5703125" style="254" customWidth="1"/>
    <col min="7688" max="7688" width="15.7109375" style="254" bestFit="1" customWidth="1"/>
    <col min="7689" max="7689" width="14.5703125" style="254" bestFit="1" customWidth="1"/>
    <col min="7690" max="7938" width="9.140625" style="254"/>
    <col min="7939" max="7939" width="8.42578125" style="254" customWidth="1"/>
    <col min="7940" max="7940" width="54.7109375" style="254" customWidth="1"/>
    <col min="7941" max="7941" width="7.85546875" style="254" customWidth="1"/>
    <col min="7942" max="7942" width="10" style="254" customWidth="1"/>
    <col min="7943" max="7943" width="20.5703125" style="254" customWidth="1"/>
    <col min="7944" max="7944" width="15.7109375" style="254" bestFit="1" customWidth="1"/>
    <col min="7945" max="7945" width="14.5703125" style="254" bestFit="1" customWidth="1"/>
    <col min="7946" max="8194" width="9.140625" style="254"/>
    <col min="8195" max="8195" width="8.42578125" style="254" customWidth="1"/>
    <col min="8196" max="8196" width="54.7109375" style="254" customWidth="1"/>
    <col min="8197" max="8197" width="7.85546875" style="254" customWidth="1"/>
    <col min="8198" max="8198" width="10" style="254" customWidth="1"/>
    <col min="8199" max="8199" width="20.5703125" style="254" customWidth="1"/>
    <col min="8200" max="8200" width="15.7109375" style="254" bestFit="1" customWidth="1"/>
    <col min="8201" max="8201" width="14.5703125" style="254" bestFit="1" customWidth="1"/>
    <col min="8202" max="8450" width="9.140625" style="254"/>
    <col min="8451" max="8451" width="8.42578125" style="254" customWidth="1"/>
    <col min="8452" max="8452" width="54.7109375" style="254" customWidth="1"/>
    <col min="8453" max="8453" width="7.85546875" style="254" customWidth="1"/>
    <col min="8454" max="8454" width="10" style="254" customWidth="1"/>
    <col min="8455" max="8455" width="20.5703125" style="254" customWidth="1"/>
    <col min="8456" max="8456" width="15.7109375" style="254" bestFit="1" customWidth="1"/>
    <col min="8457" max="8457" width="14.5703125" style="254" bestFit="1" customWidth="1"/>
    <col min="8458" max="8706" width="9.140625" style="254"/>
    <col min="8707" max="8707" width="8.42578125" style="254" customWidth="1"/>
    <col min="8708" max="8708" width="54.7109375" style="254" customWidth="1"/>
    <col min="8709" max="8709" width="7.85546875" style="254" customWidth="1"/>
    <col min="8710" max="8710" width="10" style="254" customWidth="1"/>
    <col min="8711" max="8711" width="20.5703125" style="254" customWidth="1"/>
    <col min="8712" max="8712" width="15.7109375" style="254" bestFit="1" customWidth="1"/>
    <col min="8713" max="8713" width="14.5703125" style="254" bestFit="1" customWidth="1"/>
    <col min="8714" max="8962" width="9.140625" style="254"/>
    <col min="8963" max="8963" width="8.42578125" style="254" customWidth="1"/>
    <col min="8964" max="8964" width="54.7109375" style="254" customWidth="1"/>
    <col min="8965" max="8965" width="7.85546875" style="254" customWidth="1"/>
    <col min="8966" max="8966" width="10" style="254" customWidth="1"/>
    <col min="8967" max="8967" width="20.5703125" style="254" customWidth="1"/>
    <col min="8968" max="8968" width="15.7109375" style="254" bestFit="1" customWidth="1"/>
    <col min="8969" max="8969" width="14.5703125" style="254" bestFit="1" customWidth="1"/>
    <col min="8970" max="9218" width="9.140625" style="254"/>
    <col min="9219" max="9219" width="8.42578125" style="254" customWidth="1"/>
    <col min="9220" max="9220" width="54.7109375" style="254" customWidth="1"/>
    <col min="9221" max="9221" width="7.85546875" style="254" customWidth="1"/>
    <col min="9222" max="9222" width="10" style="254" customWidth="1"/>
    <col min="9223" max="9223" width="20.5703125" style="254" customWidth="1"/>
    <col min="9224" max="9224" width="15.7109375" style="254" bestFit="1" customWidth="1"/>
    <col min="9225" max="9225" width="14.5703125" style="254" bestFit="1" customWidth="1"/>
    <col min="9226" max="9474" width="9.140625" style="254"/>
    <col min="9475" max="9475" width="8.42578125" style="254" customWidth="1"/>
    <col min="9476" max="9476" width="54.7109375" style="254" customWidth="1"/>
    <col min="9477" max="9477" width="7.85546875" style="254" customWidth="1"/>
    <col min="9478" max="9478" width="10" style="254" customWidth="1"/>
    <col min="9479" max="9479" width="20.5703125" style="254" customWidth="1"/>
    <col min="9480" max="9480" width="15.7109375" style="254" bestFit="1" customWidth="1"/>
    <col min="9481" max="9481" width="14.5703125" style="254" bestFit="1" customWidth="1"/>
    <col min="9482" max="9730" width="9.140625" style="254"/>
    <col min="9731" max="9731" width="8.42578125" style="254" customWidth="1"/>
    <col min="9732" max="9732" width="54.7109375" style="254" customWidth="1"/>
    <col min="9733" max="9733" width="7.85546875" style="254" customWidth="1"/>
    <col min="9734" max="9734" width="10" style="254" customWidth="1"/>
    <col min="9735" max="9735" width="20.5703125" style="254" customWidth="1"/>
    <col min="9736" max="9736" width="15.7109375" style="254" bestFit="1" customWidth="1"/>
    <col min="9737" max="9737" width="14.5703125" style="254" bestFit="1" customWidth="1"/>
    <col min="9738" max="9986" width="9.140625" style="254"/>
    <col min="9987" max="9987" width="8.42578125" style="254" customWidth="1"/>
    <col min="9988" max="9988" width="54.7109375" style="254" customWidth="1"/>
    <col min="9989" max="9989" width="7.85546875" style="254" customWidth="1"/>
    <col min="9990" max="9990" width="10" style="254" customWidth="1"/>
    <col min="9991" max="9991" width="20.5703125" style="254" customWidth="1"/>
    <col min="9992" max="9992" width="15.7109375" style="254" bestFit="1" customWidth="1"/>
    <col min="9993" max="9993" width="14.5703125" style="254" bestFit="1" customWidth="1"/>
    <col min="9994" max="10242" width="9.140625" style="254"/>
    <col min="10243" max="10243" width="8.42578125" style="254" customWidth="1"/>
    <col min="10244" max="10244" width="54.7109375" style="254" customWidth="1"/>
    <col min="10245" max="10245" width="7.85546875" style="254" customWidth="1"/>
    <col min="10246" max="10246" width="10" style="254" customWidth="1"/>
    <col min="10247" max="10247" width="20.5703125" style="254" customWidth="1"/>
    <col min="10248" max="10248" width="15.7109375" style="254" bestFit="1" customWidth="1"/>
    <col min="10249" max="10249" width="14.5703125" style="254" bestFit="1" customWidth="1"/>
    <col min="10250" max="10498" width="9.140625" style="254"/>
    <col min="10499" max="10499" width="8.42578125" style="254" customWidth="1"/>
    <col min="10500" max="10500" width="54.7109375" style="254" customWidth="1"/>
    <col min="10501" max="10501" width="7.85546875" style="254" customWidth="1"/>
    <col min="10502" max="10502" width="10" style="254" customWidth="1"/>
    <col min="10503" max="10503" width="20.5703125" style="254" customWidth="1"/>
    <col min="10504" max="10504" width="15.7109375" style="254" bestFit="1" customWidth="1"/>
    <col min="10505" max="10505" width="14.5703125" style="254" bestFit="1" customWidth="1"/>
    <col min="10506" max="10754" width="9.140625" style="254"/>
    <col min="10755" max="10755" width="8.42578125" style="254" customWidth="1"/>
    <col min="10756" max="10756" width="54.7109375" style="254" customWidth="1"/>
    <col min="10757" max="10757" width="7.85546875" style="254" customWidth="1"/>
    <col min="10758" max="10758" width="10" style="254" customWidth="1"/>
    <col min="10759" max="10759" width="20.5703125" style="254" customWidth="1"/>
    <col min="10760" max="10760" width="15.7109375" style="254" bestFit="1" customWidth="1"/>
    <col min="10761" max="10761" width="14.5703125" style="254" bestFit="1" customWidth="1"/>
    <col min="10762" max="11010" width="9.140625" style="254"/>
    <col min="11011" max="11011" width="8.42578125" style="254" customWidth="1"/>
    <col min="11012" max="11012" width="54.7109375" style="254" customWidth="1"/>
    <col min="11013" max="11013" width="7.85546875" style="254" customWidth="1"/>
    <col min="11014" max="11014" width="10" style="254" customWidth="1"/>
    <col min="11015" max="11015" width="20.5703125" style="254" customWidth="1"/>
    <col min="11016" max="11016" width="15.7109375" style="254" bestFit="1" customWidth="1"/>
    <col min="11017" max="11017" width="14.5703125" style="254" bestFit="1" customWidth="1"/>
    <col min="11018" max="11266" width="9.140625" style="254"/>
    <col min="11267" max="11267" width="8.42578125" style="254" customWidth="1"/>
    <col min="11268" max="11268" width="54.7109375" style="254" customWidth="1"/>
    <col min="11269" max="11269" width="7.85546875" style="254" customWidth="1"/>
    <col min="11270" max="11270" width="10" style="254" customWidth="1"/>
    <col min="11271" max="11271" width="20.5703125" style="254" customWidth="1"/>
    <col min="11272" max="11272" width="15.7109375" style="254" bestFit="1" customWidth="1"/>
    <col min="11273" max="11273" width="14.5703125" style="254" bestFit="1" customWidth="1"/>
    <col min="11274" max="11522" width="9.140625" style="254"/>
    <col min="11523" max="11523" width="8.42578125" style="254" customWidth="1"/>
    <col min="11524" max="11524" width="54.7109375" style="254" customWidth="1"/>
    <col min="11525" max="11525" width="7.85546875" style="254" customWidth="1"/>
    <col min="11526" max="11526" width="10" style="254" customWidth="1"/>
    <col min="11527" max="11527" width="20.5703125" style="254" customWidth="1"/>
    <col min="11528" max="11528" width="15.7109375" style="254" bestFit="1" customWidth="1"/>
    <col min="11529" max="11529" width="14.5703125" style="254" bestFit="1" customWidth="1"/>
    <col min="11530" max="11778" width="9.140625" style="254"/>
    <col min="11779" max="11779" width="8.42578125" style="254" customWidth="1"/>
    <col min="11780" max="11780" width="54.7109375" style="254" customWidth="1"/>
    <col min="11781" max="11781" width="7.85546875" style="254" customWidth="1"/>
    <col min="11782" max="11782" width="10" style="254" customWidth="1"/>
    <col min="11783" max="11783" width="20.5703125" style="254" customWidth="1"/>
    <col min="11784" max="11784" width="15.7109375" style="254" bestFit="1" customWidth="1"/>
    <col min="11785" max="11785" width="14.5703125" style="254" bestFit="1" customWidth="1"/>
    <col min="11786" max="12034" width="9.140625" style="254"/>
    <col min="12035" max="12035" width="8.42578125" style="254" customWidth="1"/>
    <col min="12036" max="12036" width="54.7109375" style="254" customWidth="1"/>
    <col min="12037" max="12037" width="7.85546875" style="254" customWidth="1"/>
    <col min="12038" max="12038" width="10" style="254" customWidth="1"/>
    <col min="12039" max="12039" width="20.5703125" style="254" customWidth="1"/>
    <col min="12040" max="12040" width="15.7109375" style="254" bestFit="1" customWidth="1"/>
    <col min="12041" max="12041" width="14.5703125" style="254" bestFit="1" customWidth="1"/>
    <col min="12042" max="12290" width="9.140625" style="254"/>
    <col min="12291" max="12291" width="8.42578125" style="254" customWidth="1"/>
    <col min="12292" max="12292" width="54.7109375" style="254" customWidth="1"/>
    <col min="12293" max="12293" width="7.85546875" style="254" customWidth="1"/>
    <col min="12294" max="12294" width="10" style="254" customWidth="1"/>
    <col min="12295" max="12295" width="20.5703125" style="254" customWidth="1"/>
    <col min="12296" max="12296" width="15.7109375" style="254" bestFit="1" customWidth="1"/>
    <col min="12297" max="12297" width="14.5703125" style="254" bestFit="1" customWidth="1"/>
    <col min="12298" max="12546" width="9.140625" style="254"/>
    <col min="12547" max="12547" width="8.42578125" style="254" customWidth="1"/>
    <col min="12548" max="12548" width="54.7109375" style="254" customWidth="1"/>
    <col min="12549" max="12549" width="7.85546875" style="254" customWidth="1"/>
    <col min="12550" max="12550" width="10" style="254" customWidth="1"/>
    <col min="12551" max="12551" width="20.5703125" style="254" customWidth="1"/>
    <col min="12552" max="12552" width="15.7109375" style="254" bestFit="1" customWidth="1"/>
    <col min="12553" max="12553" width="14.5703125" style="254" bestFit="1" customWidth="1"/>
    <col min="12554" max="12802" width="9.140625" style="254"/>
    <col min="12803" max="12803" width="8.42578125" style="254" customWidth="1"/>
    <col min="12804" max="12804" width="54.7109375" style="254" customWidth="1"/>
    <col min="12805" max="12805" width="7.85546875" style="254" customWidth="1"/>
    <col min="12806" max="12806" width="10" style="254" customWidth="1"/>
    <col min="12807" max="12807" width="20.5703125" style="254" customWidth="1"/>
    <col min="12808" max="12808" width="15.7109375" style="254" bestFit="1" customWidth="1"/>
    <col min="12809" max="12809" width="14.5703125" style="254" bestFit="1" customWidth="1"/>
    <col min="12810" max="13058" width="9.140625" style="254"/>
    <col min="13059" max="13059" width="8.42578125" style="254" customWidth="1"/>
    <col min="13060" max="13060" width="54.7109375" style="254" customWidth="1"/>
    <col min="13061" max="13061" width="7.85546875" style="254" customWidth="1"/>
    <col min="13062" max="13062" width="10" style="254" customWidth="1"/>
    <col min="13063" max="13063" width="20.5703125" style="254" customWidth="1"/>
    <col min="13064" max="13064" width="15.7109375" style="254" bestFit="1" customWidth="1"/>
    <col min="13065" max="13065" width="14.5703125" style="254" bestFit="1" customWidth="1"/>
    <col min="13066" max="13314" width="9.140625" style="254"/>
    <col min="13315" max="13315" width="8.42578125" style="254" customWidth="1"/>
    <col min="13316" max="13316" width="54.7109375" style="254" customWidth="1"/>
    <col min="13317" max="13317" width="7.85546875" style="254" customWidth="1"/>
    <col min="13318" max="13318" width="10" style="254" customWidth="1"/>
    <col min="13319" max="13319" width="20.5703125" style="254" customWidth="1"/>
    <col min="13320" max="13320" width="15.7109375" style="254" bestFit="1" customWidth="1"/>
    <col min="13321" max="13321" width="14.5703125" style="254" bestFit="1" customWidth="1"/>
    <col min="13322" max="13570" width="9.140625" style="254"/>
    <col min="13571" max="13571" width="8.42578125" style="254" customWidth="1"/>
    <col min="13572" max="13572" width="54.7109375" style="254" customWidth="1"/>
    <col min="13573" max="13573" width="7.85546875" style="254" customWidth="1"/>
    <col min="13574" max="13574" width="10" style="254" customWidth="1"/>
    <col min="13575" max="13575" width="20.5703125" style="254" customWidth="1"/>
    <col min="13576" max="13576" width="15.7109375" style="254" bestFit="1" customWidth="1"/>
    <col min="13577" max="13577" width="14.5703125" style="254" bestFit="1" customWidth="1"/>
    <col min="13578" max="13826" width="9.140625" style="254"/>
    <col min="13827" max="13827" width="8.42578125" style="254" customWidth="1"/>
    <col min="13828" max="13828" width="54.7109375" style="254" customWidth="1"/>
    <col min="13829" max="13829" width="7.85546875" style="254" customWidth="1"/>
    <col min="13830" max="13830" width="10" style="254" customWidth="1"/>
    <col min="13831" max="13831" width="20.5703125" style="254" customWidth="1"/>
    <col min="13832" max="13832" width="15.7109375" style="254" bestFit="1" customWidth="1"/>
    <col min="13833" max="13833" width="14.5703125" style="254" bestFit="1" customWidth="1"/>
    <col min="13834" max="14082" width="9.140625" style="254"/>
    <col min="14083" max="14083" width="8.42578125" style="254" customWidth="1"/>
    <col min="14084" max="14084" width="54.7109375" style="254" customWidth="1"/>
    <col min="14085" max="14085" width="7.85546875" style="254" customWidth="1"/>
    <col min="14086" max="14086" width="10" style="254" customWidth="1"/>
    <col min="14087" max="14087" width="20.5703125" style="254" customWidth="1"/>
    <col min="14088" max="14088" width="15.7109375" style="254" bestFit="1" customWidth="1"/>
    <col min="14089" max="14089" width="14.5703125" style="254" bestFit="1" customWidth="1"/>
    <col min="14090" max="14338" width="9.140625" style="254"/>
    <col min="14339" max="14339" width="8.42578125" style="254" customWidth="1"/>
    <col min="14340" max="14340" width="54.7109375" style="254" customWidth="1"/>
    <col min="14341" max="14341" width="7.85546875" style="254" customWidth="1"/>
    <col min="14342" max="14342" width="10" style="254" customWidth="1"/>
    <col min="14343" max="14343" width="20.5703125" style="254" customWidth="1"/>
    <col min="14344" max="14344" width="15.7109375" style="254" bestFit="1" customWidth="1"/>
    <col min="14345" max="14345" width="14.5703125" style="254" bestFit="1" customWidth="1"/>
    <col min="14346" max="14594" width="9.140625" style="254"/>
    <col min="14595" max="14595" width="8.42578125" style="254" customWidth="1"/>
    <col min="14596" max="14596" width="54.7109375" style="254" customWidth="1"/>
    <col min="14597" max="14597" width="7.85546875" style="254" customWidth="1"/>
    <col min="14598" max="14598" width="10" style="254" customWidth="1"/>
    <col min="14599" max="14599" width="20.5703125" style="254" customWidth="1"/>
    <col min="14600" max="14600" width="15.7109375" style="254" bestFit="1" customWidth="1"/>
    <col min="14601" max="14601" width="14.5703125" style="254" bestFit="1" customWidth="1"/>
    <col min="14602" max="14850" width="9.140625" style="254"/>
    <col min="14851" max="14851" width="8.42578125" style="254" customWidth="1"/>
    <col min="14852" max="14852" width="54.7109375" style="254" customWidth="1"/>
    <col min="14853" max="14853" width="7.85546875" style="254" customWidth="1"/>
    <col min="14854" max="14854" width="10" style="254" customWidth="1"/>
    <col min="14855" max="14855" width="20.5703125" style="254" customWidth="1"/>
    <col min="14856" max="14856" width="15.7109375" style="254" bestFit="1" customWidth="1"/>
    <col min="14857" max="14857" width="14.5703125" style="254" bestFit="1" customWidth="1"/>
    <col min="14858" max="15106" width="9.140625" style="254"/>
    <col min="15107" max="15107" width="8.42578125" style="254" customWidth="1"/>
    <col min="15108" max="15108" width="54.7109375" style="254" customWidth="1"/>
    <col min="15109" max="15109" width="7.85546875" style="254" customWidth="1"/>
    <col min="15110" max="15110" width="10" style="254" customWidth="1"/>
    <col min="15111" max="15111" width="20.5703125" style="254" customWidth="1"/>
    <col min="15112" max="15112" width="15.7109375" style="254" bestFit="1" customWidth="1"/>
    <col min="15113" max="15113" width="14.5703125" style="254" bestFit="1" customWidth="1"/>
    <col min="15114" max="15362" width="9.140625" style="254"/>
    <col min="15363" max="15363" width="8.42578125" style="254" customWidth="1"/>
    <col min="15364" max="15364" width="54.7109375" style="254" customWidth="1"/>
    <col min="15365" max="15365" width="7.85546875" style="254" customWidth="1"/>
    <col min="15366" max="15366" width="10" style="254" customWidth="1"/>
    <col min="15367" max="15367" width="20.5703125" style="254" customWidth="1"/>
    <col min="15368" max="15368" width="15.7109375" style="254" bestFit="1" customWidth="1"/>
    <col min="15369" max="15369" width="14.5703125" style="254" bestFit="1" customWidth="1"/>
    <col min="15370" max="15618" width="9.140625" style="254"/>
    <col min="15619" max="15619" width="8.42578125" style="254" customWidth="1"/>
    <col min="15620" max="15620" width="54.7109375" style="254" customWidth="1"/>
    <col min="15621" max="15621" width="7.85546875" style="254" customWidth="1"/>
    <col min="15622" max="15622" width="10" style="254" customWidth="1"/>
    <col min="15623" max="15623" width="20.5703125" style="254" customWidth="1"/>
    <col min="15624" max="15624" width="15.7109375" style="254" bestFit="1" customWidth="1"/>
    <col min="15625" max="15625" width="14.5703125" style="254" bestFit="1" customWidth="1"/>
    <col min="15626" max="15874" width="9.140625" style="254"/>
    <col min="15875" max="15875" width="8.42578125" style="254" customWidth="1"/>
    <col min="15876" max="15876" width="54.7109375" style="254" customWidth="1"/>
    <col min="15877" max="15877" width="7.85546875" style="254" customWidth="1"/>
    <col min="15878" max="15878" width="10" style="254" customWidth="1"/>
    <col min="15879" max="15879" width="20.5703125" style="254" customWidth="1"/>
    <col min="15880" max="15880" width="15.7109375" style="254" bestFit="1" customWidth="1"/>
    <col min="15881" max="15881" width="14.5703125" style="254" bestFit="1" customWidth="1"/>
    <col min="15882" max="16130" width="9.140625" style="254"/>
    <col min="16131" max="16131" width="8.42578125" style="254" customWidth="1"/>
    <col min="16132" max="16132" width="54.7109375" style="254" customWidth="1"/>
    <col min="16133" max="16133" width="7.85546875" style="254" customWidth="1"/>
    <col min="16134" max="16134" width="10" style="254" customWidth="1"/>
    <col min="16135" max="16135" width="20.5703125" style="254" customWidth="1"/>
    <col min="16136" max="16136" width="15.7109375" style="254" bestFit="1" customWidth="1"/>
    <col min="16137" max="16137" width="14.5703125" style="254" bestFit="1" customWidth="1"/>
    <col min="16138" max="16384" width="9.140625" style="254"/>
  </cols>
  <sheetData>
    <row r="1" spans="1:13" ht="20.100000000000001" customHeight="1" x14ac:dyDescent="0.25">
      <c r="A1" s="251"/>
      <c r="B1" s="251"/>
      <c r="C1" s="251"/>
      <c r="D1" s="330"/>
      <c r="E1" s="252"/>
      <c r="F1" s="252"/>
      <c r="G1" s="252"/>
    </row>
    <row r="2" spans="1:13" ht="20.100000000000001" customHeight="1" x14ac:dyDescent="0.25">
      <c r="A2" s="251"/>
      <c r="B2" s="251"/>
      <c r="C2" s="251"/>
      <c r="D2" s="330"/>
      <c r="E2" s="252"/>
      <c r="F2" s="252"/>
      <c r="G2" s="252"/>
    </row>
    <row r="3" spans="1:13" ht="20.100000000000001" customHeight="1" x14ac:dyDescent="0.25">
      <c r="A3" s="251"/>
      <c r="B3" s="251"/>
      <c r="C3" s="251"/>
      <c r="D3" s="330"/>
      <c r="E3" s="252"/>
      <c r="F3" s="252"/>
      <c r="G3" s="252"/>
    </row>
    <row r="4" spans="1:13" ht="20.100000000000001" customHeight="1" x14ac:dyDescent="0.25">
      <c r="A4" s="255"/>
      <c r="B4" s="251"/>
      <c r="C4" s="251"/>
      <c r="D4" s="330"/>
      <c r="E4" s="252"/>
      <c r="F4" s="252"/>
      <c r="G4" s="252"/>
    </row>
    <row r="5" spans="1:13" ht="20.100000000000001" customHeight="1" x14ac:dyDescent="0.25">
      <c r="A5" s="251"/>
      <c r="B5" s="251"/>
      <c r="C5" s="251"/>
      <c r="D5" s="330"/>
      <c r="E5" s="252"/>
      <c r="F5" s="252"/>
      <c r="G5" s="252"/>
    </row>
    <row r="6" spans="1:13" ht="20.100000000000001" customHeight="1" x14ac:dyDescent="0.25">
      <c r="A6" s="255" t="s">
        <v>575</v>
      </c>
      <c r="B6" s="251"/>
      <c r="C6" s="251"/>
      <c r="D6" s="330"/>
      <c r="E6" s="252"/>
      <c r="F6" s="252"/>
      <c r="G6" s="252"/>
    </row>
    <row r="7" spans="1:13" ht="20.100000000000001" customHeight="1" x14ac:dyDescent="0.25">
      <c r="A7" s="255"/>
      <c r="B7" s="251"/>
      <c r="C7" s="251"/>
      <c r="D7" s="330"/>
      <c r="E7" s="252"/>
      <c r="F7" s="252"/>
      <c r="G7" s="252"/>
    </row>
    <row r="8" spans="1:13" s="100" customFormat="1" x14ac:dyDescent="0.25">
      <c r="C8" s="258"/>
      <c r="D8" s="331"/>
      <c r="E8" s="252"/>
      <c r="F8" s="259"/>
      <c r="G8" s="252"/>
      <c r="H8" s="260"/>
      <c r="J8" s="369"/>
      <c r="K8" s="264"/>
      <c r="M8" s="161"/>
    </row>
    <row r="9" spans="1:13" s="100" customFormat="1" x14ac:dyDescent="0.25">
      <c r="C9" s="258"/>
      <c r="D9" s="331"/>
      <c r="E9" s="252"/>
      <c r="F9" s="259"/>
      <c r="G9" s="252"/>
      <c r="H9" s="260"/>
      <c r="J9" s="369"/>
      <c r="K9" s="264"/>
      <c r="M9" s="161"/>
    </row>
    <row r="10" spans="1:13" s="100" customFormat="1" x14ac:dyDescent="0.25">
      <c r="A10" s="261" t="s">
        <v>572</v>
      </c>
      <c r="B10" s="106"/>
      <c r="C10" s="106"/>
      <c r="D10" s="162"/>
      <c r="E10" s="106"/>
      <c r="F10" s="262"/>
      <c r="G10" s="396"/>
      <c r="H10" s="260"/>
      <c r="J10" s="369"/>
      <c r="K10" s="264"/>
      <c r="M10" s="161"/>
    </row>
    <row r="11" spans="1:13" s="100" customFormat="1" x14ac:dyDescent="0.25">
      <c r="A11" s="261"/>
      <c r="B11" s="98"/>
      <c r="C11" s="98"/>
      <c r="D11" s="170"/>
      <c r="E11" s="454" t="s">
        <v>576</v>
      </c>
      <c r="F11" s="454"/>
      <c r="G11" s="260">
        <f>+D16+D32+D48+D104+D126</f>
        <v>24200</v>
      </c>
      <c r="H11" s="260"/>
      <c r="J11" s="369"/>
      <c r="K11" s="264"/>
      <c r="M11" s="161"/>
    </row>
    <row r="12" spans="1:13" s="100" customFormat="1" x14ac:dyDescent="0.25">
      <c r="A12" s="98"/>
      <c r="B12" s="98"/>
      <c r="C12" s="98"/>
      <c r="D12" s="170"/>
      <c r="E12" s="265"/>
      <c r="F12" s="266"/>
      <c r="G12" s="265"/>
      <c r="H12" s="260"/>
      <c r="J12" s="369"/>
      <c r="K12" s="264"/>
      <c r="M12" s="161"/>
    </row>
    <row r="13" spans="1:13" s="272" customFormat="1" ht="17.100000000000001" customHeight="1" x14ac:dyDescent="0.25">
      <c r="A13" s="332" t="s">
        <v>1</v>
      </c>
      <c r="B13" s="332" t="s">
        <v>284</v>
      </c>
      <c r="C13" s="332" t="s">
        <v>26</v>
      </c>
      <c r="D13" s="333" t="s">
        <v>285</v>
      </c>
      <c r="E13" s="334" t="s">
        <v>286</v>
      </c>
      <c r="F13" s="335" t="s">
        <v>287</v>
      </c>
      <c r="G13" s="397"/>
      <c r="H13" s="271"/>
      <c r="I13" s="125"/>
      <c r="J13" s="370"/>
      <c r="K13" s="375"/>
      <c r="M13" s="441"/>
    </row>
    <row r="14" spans="1:13" s="272" customFormat="1" ht="30.75" customHeight="1" x14ac:dyDescent="0.25">
      <c r="A14" s="401" t="s">
        <v>513</v>
      </c>
      <c r="B14" s="402" t="s">
        <v>480</v>
      </c>
      <c r="C14" s="401"/>
      <c r="D14" s="403"/>
      <c r="E14" s="404"/>
      <c r="F14" s="405"/>
      <c r="G14" s="397"/>
      <c r="H14" s="271"/>
      <c r="I14" s="125"/>
      <c r="J14" s="370"/>
      <c r="K14" s="375"/>
      <c r="M14" s="441"/>
    </row>
    <row r="15" spans="1:13" s="272" customFormat="1" ht="17.100000000000001" customHeight="1" x14ac:dyDescent="0.25">
      <c r="A15" s="267" t="s">
        <v>288</v>
      </c>
      <c r="B15" s="273" t="s">
        <v>482</v>
      </c>
      <c r="C15" s="267"/>
      <c r="D15" s="336"/>
      <c r="E15" s="269"/>
      <c r="F15" s="270"/>
      <c r="G15" s="397"/>
      <c r="H15" s="274"/>
      <c r="I15" s="261"/>
      <c r="J15" s="371"/>
      <c r="K15" s="376"/>
      <c r="M15" s="441"/>
    </row>
    <row r="16" spans="1:13" s="450" customFormat="1" ht="17.100000000000001" customHeight="1" x14ac:dyDescent="0.25">
      <c r="A16" s="242" t="s">
        <v>289</v>
      </c>
      <c r="B16" s="445" t="s">
        <v>577</v>
      </c>
      <c r="C16" s="242" t="s">
        <v>205</v>
      </c>
      <c r="D16" s="439">
        <v>2500</v>
      </c>
      <c r="E16" s="226">
        <f>M16</f>
        <v>19645.667999999998</v>
      </c>
      <c r="F16" s="446">
        <f>+E16*D16</f>
        <v>49114169.999999993</v>
      </c>
      <c r="G16" s="447"/>
      <c r="H16" s="448">
        <v>11025</v>
      </c>
      <c r="I16" s="449">
        <v>1.4</v>
      </c>
      <c r="J16" s="449"/>
      <c r="K16" s="448">
        <f>H16*I16</f>
        <v>15434.999999999998</v>
      </c>
      <c r="L16" s="450">
        <v>1.2727999999999999</v>
      </c>
      <c r="M16" s="451">
        <f>+K16*L16</f>
        <v>19645.667999999998</v>
      </c>
    </row>
    <row r="17" spans="1:13" ht="17.100000000000001" customHeight="1" x14ac:dyDescent="0.25">
      <c r="A17" s="61" t="s">
        <v>291</v>
      </c>
      <c r="B17" s="275" t="s">
        <v>292</v>
      </c>
      <c r="C17" s="61" t="s">
        <v>205</v>
      </c>
      <c r="D17" s="337">
        <v>2500</v>
      </c>
      <c r="E17" s="59">
        <v>4410.2520000000004</v>
      </c>
      <c r="F17" s="276">
        <f t="shared" ref="F17:F89" si="0">+E17*D17</f>
        <v>11025630.000000002</v>
      </c>
      <c r="G17" s="359"/>
      <c r="H17" s="253">
        <v>2475</v>
      </c>
      <c r="I17" s="277">
        <v>1.4</v>
      </c>
      <c r="J17" s="372"/>
      <c r="K17" s="329">
        <v>3465</v>
      </c>
      <c r="L17" s="254">
        <v>1.2727999999999999</v>
      </c>
      <c r="M17" s="440">
        <f t="shared" ref="M17:M86" si="1">+K17*L17</f>
        <v>4410.2519999999995</v>
      </c>
    </row>
    <row r="18" spans="1:13" ht="17.100000000000001" customHeight="1" x14ac:dyDescent="0.25">
      <c r="A18" s="61" t="s">
        <v>293</v>
      </c>
      <c r="B18" s="275" t="s">
        <v>294</v>
      </c>
      <c r="C18" s="61" t="s">
        <v>205</v>
      </c>
      <c r="D18" s="337">
        <v>600</v>
      </c>
      <c r="E18" s="59">
        <v>1719.5527999999999</v>
      </c>
      <c r="F18" s="276">
        <f>+E18*D18</f>
        <v>1031731.6799999999</v>
      </c>
      <c r="G18" s="359"/>
      <c r="H18" s="253">
        <v>965</v>
      </c>
      <c r="I18" s="277">
        <v>1.4</v>
      </c>
      <c r="J18" s="372"/>
      <c r="K18" s="329">
        <v>1351</v>
      </c>
      <c r="L18" s="254">
        <v>1.2727999999999999</v>
      </c>
      <c r="M18" s="440">
        <f t="shared" si="1"/>
        <v>1719.5527999999999</v>
      </c>
    </row>
    <row r="19" spans="1:13" ht="17.100000000000001" customHeight="1" x14ac:dyDescent="0.25">
      <c r="A19" s="61" t="s">
        <v>295</v>
      </c>
      <c r="B19" s="275" t="s">
        <v>296</v>
      </c>
      <c r="C19" s="61" t="s">
        <v>203</v>
      </c>
      <c r="D19" s="337">
        <v>350</v>
      </c>
      <c r="E19" s="59">
        <v>4632.9919999999993</v>
      </c>
      <c r="F19" s="276">
        <f t="shared" si="0"/>
        <v>1621547.1999999997</v>
      </c>
      <c r="G19" s="359"/>
      <c r="H19" s="253">
        <v>2600</v>
      </c>
      <c r="I19" s="277">
        <v>1.4</v>
      </c>
      <c r="J19" s="372"/>
      <c r="K19" s="329">
        <v>3639.9999999999995</v>
      </c>
      <c r="L19" s="254">
        <v>1.2727999999999999</v>
      </c>
      <c r="M19" s="440">
        <f t="shared" si="1"/>
        <v>4632.9919999999993</v>
      </c>
    </row>
    <row r="20" spans="1:13" ht="17.100000000000001" customHeight="1" x14ac:dyDescent="0.25">
      <c r="A20" s="61" t="s">
        <v>297</v>
      </c>
      <c r="B20" s="275" t="s">
        <v>298</v>
      </c>
      <c r="C20" s="61" t="s">
        <v>203</v>
      </c>
      <c r="D20" s="337">
        <v>350</v>
      </c>
      <c r="E20" s="59">
        <v>7243.5047999999997</v>
      </c>
      <c r="F20" s="276">
        <f t="shared" si="0"/>
        <v>2535226.6799999997</v>
      </c>
      <c r="G20" s="359"/>
      <c r="H20" s="253">
        <v>4065</v>
      </c>
      <c r="I20" s="277">
        <v>1.4</v>
      </c>
      <c r="J20" s="372"/>
      <c r="K20" s="329">
        <v>5691</v>
      </c>
      <c r="L20" s="254">
        <v>1.2727999999999999</v>
      </c>
      <c r="M20" s="440">
        <f t="shared" si="1"/>
        <v>7243.5047999999997</v>
      </c>
    </row>
    <row r="21" spans="1:13" ht="17.100000000000001" customHeight="1" x14ac:dyDescent="0.25">
      <c r="A21" s="61" t="s">
        <v>299</v>
      </c>
      <c r="B21" s="275" t="s">
        <v>218</v>
      </c>
      <c r="C21" s="61" t="s">
        <v>205</v>
      </c>
      <c r="D21" s="337">
        <v>5000</v>
      </c>
      <c r="E21" s="59">
        <v>2672.8799999999997</v>
      </c>
      <c r="F21" s="276">
        <f t="shared" si="0"/>
        <v>13364399.999999998</v>
      </c>
      <c r="G21" s="359"/>
      <c r="H21" s="253">
        <v>1500</v>
      </c>
      <c r="I21" s="277">
        <v>1.4</v>
      </c>
      <c r="J21" s="372"/>
      <c r="K21" s="329">
        <v>2100</v>
      </c>
      <c r="L21" s="254">
        <v>1.2727999999999999</v>
      </c>
      <c r="M21" s="440">
        <f t="shared" si="1"/>
        <v>2672.8799999999997</v>
      </c>
    </row>
    <row r="22" spans="1:13" ht="17.100000000000001" customHeight="1" x14ac:dyDescent="0.25">
      <c r="A22" s="61" t="s">
        <v>300</v>
      </c>
      <c r="B22" s="275" t="s">
        <v>202</v>
      </c>
      <c r="C22" s="61" t="s">
        <v>205</v>
      </c>
      <c r="D22" s="337">
        <v>2500</v>
      </c>
      <c r="E22" s="59">
        <v>258.3784</v>
      </c>
      <c r="F22" s="276">
        <f t="shared" si="0"/>
        <v>645946</v>
      </c>
      <c r="G22" s="359"/>
      <c r="H22" s="253">
        <v>145</v>
      </c>
      <c r="I22" s="277">
        <v>1.4</v>
      </c>
      <c r="J22" s="372"/>
      <c r="K22" s="329">
        <v>203</v>
      </c>
      <c r="L22" s="254">
        <v>1.2727999999999999</v>
      </c>
      <c r="M22" s="440">
        <f t="shared" si="1"/>
        <v>258.3784</v>
      </c>
    </row>
    <row r="23" spans="1:13" ht="17.100000000000001" customHeight="1" x14ac:dyDescent="0.25">
      <c r="A23" s="61" t="s">
        <v>301</v>
      </c>
      <c r="B23" s="275" t="s">
        <v>484</v>
      </c>
      <c r="C23" s="61" t="s">
        <v>203</v>
      </c>
      <c r="D23" s="337">
        <v>50</v>
      </c>
      <c r="E23" s="59">
        <v>15146.32</v>
      </c>
      <c r="F23" s="276">
        <f t="shared" si="0"/>
        <v>757316</v>
      </c>
      <c r="G23" s="359"/>
      <c r="H23" s="253">
        <v>8500</v>
      </c>
      <c r="I23" s="277">
        <v>1.4</v>
      </c>
      <c r="J23" s="372"/>
      <c r="K23" s="329">
        <v>11900</v>
      </c>
      <c r="L23" s="254">
        <v>1.2727999999999999</v>
      </c>
      <c r="M23" s="440">
        <f t="shared" si="1"/>
        <v>15146.32</v>
      </c>
    </row>
    <row r="24" spans="1:13" ht="17.100000000000001" customHeight="1" x14ac:dyDescent="0.25">
      <c r="A24" s="61" t="s">
        <v>302</v>
      </c>
      <c r="B24" s="275" t="s">
        <v>485</v>
      </c>
      <c r="C24" s="61" t="s">
        <v>203</v>
      </c>
      <c r="D24" s="337">
        <v>50</v>
      </c>
      <c r="E24" s="59">
        <v>5078.4719999999988</v>
      </c>
      <c r="F24" s="276">
        <f t="shared" si="0"/>
        <v>253923.59999999995</v>
      </c>
      <c r="G24" s="359"/>
      <c r="H24" s="253">
        <v>2850</v>
      </c>
      <c r="I24" s="277">
        <v>1.4</v>
      </c>
      <c r="J24" s="372"/>
      <c r="K24" s="329">
        <v>3989.9999999999995</v>
      </c>
      <c r="L24" s="254">
        <v>1.2727999999999999</v>
      </c>
      <c r="M24" s="440">
        <f t="shared" si="1"/>
        <v>5078.4719999999988</v>
      </c>
    </row>
    <row r="25" spans="1:13" ht="17.100000000000001" customHeight="1" x14ac:dyDescent="0.25">
      <c r="A25" s="61" t="s">
        <v>303</v>
      </c>
      <c r="B25" s="275" t="s">
        <v>486</v>
      </c>
      <c r="C25" s="61" t="s">
        <v>203</v>
      </c>
      <c r="D25" s="337">
        <v>50</v>
      </c>
      <c r="E25" s="59">
        <v>26728.799999999999</v>
      </c>
      <c r="F25" s="278">
        <f>+D25*E25</f>
        <v>1336440</v>
      </c>
      <c r="G25" s="358"/>
      <c r="H25" s="253">
        <v>15000</v>
      </c>
      <c r="I25" s="277">
        <v>1.4</v>
      </c>
      <c r="J25" s="372"/>
      <c r="K25" s="329">
        <v>21000</v>
      </c>
      <c r="L25" s="254">
        <v>1.2727999999999999</v>
      </c>
      <c r="M25" s="440">
        <f t="shared" si="1"/>
        <v>26728.799999999999</v>
      </c>
    </row>
    <row r="26" spans="1:13" ht="17.100000000000001" customHeight="1" x14ac:dyDescent="0.25">
      <c r="A26" s="61" t="s">
        <v>305</v>
      </c>
      <c r="B26" s="275" t="s">
        <v>306</v>
      </c>
      <c r="C26" s="61" t="s">
        <v>205</v>
      </c>
      <c r="D26" s="337">
        <v>2500</v>
      </c>
      <c r="E26" s="59">
        <v>22274</v>
      </c>
      <c r="F26" s="278">
        <f t="shared" ref="F26:F29" si="2">+D26*E26</f>
        <v>55685000</v>
      </c>
      <c r="G26" s="358"/>
      <c r="H26" s="253">
        <v>12500</v>
      </c>
      <c r="I26" s="277">
        <v>1.4</v>
      </c>
      <c r="J26" s="372"/>
      <c r="K26" s="329">
        <v>17500</v>
      </c>
      <c r="L26" s="254">
        <v>1.2727999999999999</v>
      </c>
      <c r="M26" s="440">
        <f t="shared" si="1"/>
        <v>22274</v>
      </c>
    </row>
    <row r="27" spans="1:13" ht="17.100000000000001" customHeight="1" x14ac:dyDescent="0.25">
      <c r="A27" s="61" t="s">
        <v>307</v>
      </c>
      <c r="B27" s="275" t="s">
        <v>223</v>
      </c>
      <c r="C27" s="61" t="s">
        <v>205</v>
      </c>
      <c r="D27" s="337">
        <v>350</v>
      </c>
      <c r="E27" s="59">
        <v>2672.8799999999997</v>
      </c>
      <c r="F27" s="278">
        <f t="shared" si="2"/>
        <v>935507.99999999988</v>
      </c>
      <c r="G27" s="358"/>
      <c r="H27" s="253">
        <v>1500</v>
      </c>
      <c r="I27" s="277">
        <v>1.4</v>
      </c>
      <c r="J27" s="372"/>
      <c r="K27" s="329">
        <v>2100</v>
      </c>
      <c r="L27" s="254">
        <v>1.2727999999999999</v>
      </c>
      <c r="M27" s="440">
        <f t="shared" si="1"/>
        <v>2672.8799999999997</v>
      </c>
    </row>
    <row r="28" spans="1:13" ht="18.75" customHeight="1" x14ac:dyDescent="0.25">
      <c r="A28" s="61" t="s">
        <v>308</v>
      </c>
      <c r="B28" s="310" t="s">
        <v>309</v>
      </c>
      <c r="C28" s="61" t="s">
        <v>203</v>
      </c>
      <c r="D28" s="337">
        <v>10</v>
      </c>
      <c r="E28" s="59">
        <v>44548</v>
      </c>
      <c r="F28" s="278">
        <f t="shared" si="2"/>
        <v>445480</v>
      </c>
      <c r="G28" s="358"/>
      <c r="H28" s="253">
        <v>25000</v>
      </c>
      <c r="I28" s="277">
        <v>1.4</v>
      </c>
      <c r="J28" s="372"/>
      <c r="K28" s="329">
        <v>35000</v>
      </c>
      <c r="L28" s="254">
        <v>1.2727999999999999</v>
      </c>
      <c r="M28" s="440">
        <f t="shared" si="1"/>
        <v>44548</v>
      </c>
    </row>
    <row r="29" spans="1:13" ht="17.100000000000001" customHeight="1" x14ac:dyDescent="0.25">
      <c r="A29" s="61" t="s">
        <v>310</v>
      </c>
      <c r="B29" s="275" t="s">
        <v>311</v>
      </c>
      <c r="C29" s="61" t="s">
        <v>203</v>
      </c>
      <c r="D29" s="337">
        <v>40</v>
      </c>
      <c r="E29" s="59">
        <v>35638.400000000001</v>
      </c>
      <c r="F29" s="278">
        <f t="shared" si="2"/>
        <v>1425536</v>
      </c>
      <c r="G29" s="358"/>
      <c r="H29" s="253">
        <v>20000</v>
      </c>
      <c r="I29" s="277">
        <v>1.4</v>
      </c>
      <c r="J29" s="372"/>
      <c r="K29" s="329">
        <v>28000</v>
      </c>
      <c r="L29" s="254">
        <v>1.2727999999999999</v>
      </c>
      <c r="M29" s="440">
        <f t="shared" si="1"/>
        <v>35638.400000000001</v>
      </c>
    </row>
    <row r="30" spans="1:13" ht="17.100000000000001" customHeight="1" x14ac:dyDescent="0.25">
      <c r="A30" s="61"/>
      <c r="B30" s="275"/>
      <c r="C30" s="61"/>
      <c r="D30" s="337"/>
      <c r="E30" s="59"/>
      <c r="F30" s="278"/>
      <c r="G30" s="358"/>
      <c r="I30" s="277"/>
      <c r="J30" s="372"/>
      <c r="K30" s="329">
        <v>0</v>
      </c>
      <c r="L30" s="254">
        <v>1.2727999999999999</v>
      </c>
      <c r="M30" s="440">
        <f t="shared" si="1"/>
        <v>0</v>
      </c>
    </row>
    <row r="31" spans="1:13" s="272" customFormat="1" ht="17.100000000000001" customHeight="1" x14ac:dyDescent="0.25">
      <c r="A31" s="267" t="s">
        <v>312</v>
      </c>
      <c r="B31" s="273" t="s">
        <v>487</v>
      </c>
      <c r="C31" s="267"/>
      <c r="D31" s="336"/>
      <c r="E31" s="59"/>
      <c r="F31" s="276"/>
      <c r="G31" s="359"/>
      <c r="H31" s="274"/>
      <c r="I31" s="277">
        <v>1.4</v>
      </c>
      <c r="J31" s="372"/>
      <c r="K31" s="376">
        <v>0</v>
      </c>
      <c r="L31" s="254">
        <v>1.2727999999999999</v>
      </c>
      <c r="M31" s="440">
        <f t="shared" si="1"/>
        <v>0</v>
      </c>
    </row>
    <row r="32" spans="1:13" ht="17.100000000000001" customHeight="1" x14ac:dyDescent="0.25">
      <c r="A32" s="61" t="s">
        <v>289</v>
      </c>
      <c r="B32" s="275" t="s">
        <v>577</v>
      </c>
      <c r="C32" s="61" t="s">
        <v>205</v>
      </c>
      <c r="D32" s="337">
        <v>2500</v>
      </c>
      <c r="E32" s="59">
        <v>12208</v>
      </c>
      <c r="F32" s="276">
        <f>+E32*D32</f>
        <v>30520000</v>
      </c>
      <c r="G32" s="359"/>
      <c r="H32" s="253">
        <v>11025</v>
      </c>
      <c r="I32" s="277">
        <v>1.4</v>
      </c>
      <c r="J32" s="372"/>
      <c r="K32" s="329">
        <v>8154.9999999999991</v>
      </c>
      <c r="L32" s="254">
        <v>1.2727999999999999</v>
      </c>
      <c r="M32" s="440">
        <f t="shared" si="1"/>
        <v>10379.683999999997</v>
      </c>
    </row>
    <row r="33" spans="1:13" ht="17.100000000000001" customHeight="1" x14ac:dyDescent="0.25">
      <c r="A33" s="61" t="s">
        <v>314</v>
      </c>
      <c r="B33" s="275" t="s">
        <v>292</v>
      </c>
      <c r="C33" s="61" t="s">
        <v>205</v>
      </c>
      <c r="D33" s="337">
        <v>2500</v>
      </c>
      <c r="E33" s="59">
        <v>4410.2519999999995</v>
      </c>
      <c r="F33" s="276">
        <f t="shared" si="0"/>
        <v>11025629.999999998</v>
      </c>
      <c r="G33" s="359"/>
      <c r="H33" s="253">
        <v>2475</v>
      </c>
      <c r="I33" s="277">
        <v>1.4</v>
      </c>
      <c r="J33" s="372"/>
      <c r="K33" s="329">
        <v>3465</v>
      </c>
      <c r="L33" s="254">
        <v>1.2727999999999999</v>
      </c>
      <c r="M33" s="440">
        <f t="shared" si="1"/>
        <v>4410.2519999999995</v>
      </c>
    </row>
    <row r="34" spans="1:13" ht="17.100000000000001" customHeight="1" x14ac:dyDescent="0.25">
      <c r="A34" s="61" t="s">
        <v>315</v>
      </c>
      <c r="B34" s="275" t="s">
        <v>294</v>
      </c>
      <c r="C34" s="61" t="s">
        <v>205</v>
      </c>
      <c r="D34" s="337">
        <v>600</v>
      </c>
      <c r="E34" s="59">
        <v>1719.5527999999999</v>
      </c>
      <c r="F34" s="276">
        <f t="shared" si="0"/>
        <v>1031731.6799999999</v>
      </c>
      <c r="G34" s="359"/>
      <c r="H34" s="253">
        <v>965</v>
      </c>
      <c r="I34" s="277">
        <v>1.4</v>
      </c>
      <c r="J34" s="372"/>
      <c r="K34" s="329">
        <v>1351</v>
      </c>
      <c r="L34" s="254">
        <v>1.2727999999999999</v>
      </c>
      <c r="M34" s="440">
        <f t="shared" si="1"/>
        <v>1719.5527999999999</v>
      </c>
    </row>
    <row r="35" spans="1:13" ht="17.100000000000001" customHeight="1" x14ac:dyDescent="0.25">
      <c r="A35" s="61" t="s">
        <v>316</v>
      </c>
      <c r="B35" s="275" t="s">
        <v>216</v>
      </c>
      <c r="C35" s="61" t="s">
        <v>203</v>
      </c>
      <c r="D35" s="337">
        <v>350</v>
      </c>
      <c r="E35" s="59">
        <v>4632.9919999999993</v>
      </c>
      <c r="F35" s="276">
        <f t="shared" si="0"/>
        <v>1621547.1999999997</v>
      </c>
      <c r="G35" s="359"/>
      <c r="H35" s="253">
        <v>2600</v>
      </c>
      <c r="I35" s="277">
        <v>1.4</v>
      </c>
      <c r="J35" s="372"/>
      <c r="K35" s="329">
        <v>3639.9999999999995</v>
      </c>
      <c r="L35" s="254">
        <v>1.2727999999999999</v>
      </c>
      <c r="M35" s="440">
        <f t="shared" si="1"/>
        <v>4632.9919999999993</v>
      </c>
    </row>
    <row r="36" spans="1:13" ht="17.100000000000001" customHeight="1" x14ac:dyDescent="0.25">
      <c r="A36" s="61" t="s">
        <v>317</v>
      </c>
      <c r="B36" s="275" t="s">
        <v>318</v>
      </c>
      <c r="C36" s="61" t="s">
        <v>203</v>
      </c>
      <c r="D36" s="337">
        <v>350</v>
      </c>
      <c r="E36" s="59">
        <v>7243.5047999999997</v>
      </c>
      <c r="F36" s="276">
        <f t="shared" si="0"/>
        <v>2535226.6799999997</v>
      </c>
      <c r="G36" s="359"/>
      <c r="H36" s="253">
        <v>4065</v>
      </c>
      <c r="I36" s="277">
        <v>1.4</v>
      </c>
      <c r="J36" s="372"/>
      <c r="K36" s="329">
        <v>5691</v>
      </c>
      <c r="L36" s="254">
        <v>1.2727999999999999</v>
      </c>
      <c r="M36" s="440">
        <f t="shared" si="1"/>
        <v>7243.5047999999997</v>
      </c>
    </row>
    <row r="37" spans="1:13" ht="17.100000000000001" customHeight="1" x14ac:dyDescent="0.25">
      <c r="A37" s="61" t="s">
        <v>319</v>
      </c>
      <c r="B37" s="275" t="s">
        <v>218</v>
      </c>
      <c r="C37" s="61" t="s">
        <v>205</v>
      </c>
      <c r="D37" s="337">
        <v>5000</v>
      </c>
      <c r="E37" s="59">
        <v>2672.8799999999997</v>
      </c>
      <c r="F37" s="276">
        <f t="shared" si="0"/>
        <v>13364399.999999998</v>
      </c>
      <c r="G37" s="359"/>
      <c r="H37" s="253">
        <v>1500</v>
      </c>
      <c r="I37" s="277">
        <v>1.4</v>
      </c>
      <c r="J37" s="372"/>
      <c r="K37" s="329">
        <v>2100</v>
      </c>
      <c r="L37" s="254">
        <v>1.2727999999999999</v>
      </c>
      <c r="M37" s="440">
        <f t="shared" si="1"/>
        <v>2672.8799999999997</v>
      </c>
    </row>
    <row r="38" spans="1:13" ht="17.100000000000001" customHeight="1" x14ac:dyDescent="0.25">
      <c r="A38" s="61" t="s">
        <v>320</v>
      </c>
      <c r="B38" s="275" t="s">
        <v>202</v>
      </c>
      <c r="C38" s="61" t="s">
        <v>205</v>
      </c>
      <c r="D38" s="337">
        <v>350</v>
      </c>
      <c r="E38" s="59">
        <v>258.3784</v>
      </c>
      <c r="F38" s="276">
        <f t="shared" si="0"/>
        <v>90432.44</v>
      </c>
      <c r="G38" s="359"/>
      <c r="H38" s="253">
        <v>145</v>
      </c>
      <c r="I38" s="277">
        <v>1.4</v>
      </c>
      <c r="J38" s="372"/>
      <c r="K38" s="329">
        <v>203</v>
      </c>
      <c r="L38" s="254">
        <v>1.2727999999999999</v>
      </c>
      <c r="M38" s="440">
        <f t="shared" si="1"/>
        <v>258.3784</v>
      </c>
    </row>
    <row r="39" spans="1:13" ht="17.100000000000001" customHeight="1" x14ac:dyDescent="0.25">
      <c r="A39" s="61" t="s">
        <v>321</v>
      </c>
      <c r="B39" s="275" t="s">
        <v>219</v>
      </c>
      <c r="C39" s="61" t="s">
        <v>203</v>
      </c>
      <c r="D39" s="337">
        <v>41</v>
      </c>
      <c r="E39" s="59">
        <v>15146.32</v>
      </c>
      <c r="F39" s="276">
        <f t="shared" si="0"/>
        <v>620999.12</v>
      </c>
      <c r="G39" s="359"/>
      <c r="H39" s="253">
        <v>8500</v>
      </c>
      <c r="I39" s="277">
        <v>1.4</v>
      </c>
      <c r="J39" s="372"/>
      <c r="K39" s="329">
        <v>11900</v>
      </c>
      <c r="L39" s="254">
        <v>1.2727999999999999</v>
      </c>
      <c r="M39" s="440">
        <f t="shared" si="1"/>
        <v>15146.32</v>
      </c>
    </row>
    <row r="40" spans="1:13" ht="17.100000000000001" customHeight="1" x14ac:dyDescent="0.25">
      <c r="A40" s="61" t="s">
        <v>322</v>
      </c>
      <c r="B40" s="275" t="s">
        <v>220</v>
      </c>
      <c r="C40" s="61" t="s">
        <v>203</v>
      </c>
      <c r="D40" s="337">
        <v>41</v>
      </c>
      <c r="E40" s="59">
        <v>5078.4719999999988</v>
      </c>
      <c r="F40" s="276">
        <f t="shared" si="0"/>
        <v>208217.35199999996</v>
      </c>
      <c r="G40" s="359"/>
      <c r="H40" s="253">
        <v>2850</v>
      </c>
      <c r="I40" s="277">
        <v>1.4</v>
      </c>
      <c r="J40" s="372"/>
      <c r="K40" s="329">
        <v>3989.9999999999995</v>
      </c>
      <c r="L40" s="254">
        <v>1.2727999999999999</v>
      </c>
      <c r="M40" s="440">
        <f t="shared" si="1"/>
        <v>5078.4719999999988</v>
      </c>
    </row>
    <row r="41" spans="1:13" ht="17.100000000000001" customHeight="1" x14ac:dyDescent="0.25">
      <c r="A41" s="61" t="s">
        <v>323</v>
      </c>
      <c r="B41" s="275" t="s">
        <v>304</v>
      </c>
      <c r="C41" s="61" t="s">
        <v>203</v>
      </c>
      <c r="D41" s="337">
        <v>41</v>
      </c>
      <c r="E41" s="59">
        <v>26728.799999999999</v>
      </c>
      <c r="F41" s="278">
        <f t="shared" ref="F41:F45" si="3">+D41*E41</f>
        <v>1095880.8</v>
      </c>
      <c r="G41" s="358"/>
      <c r="H41" s="253">
        <v>15000</v>
      </c>
      <c r="I41" s="277">
        <v>1.4</v>
      </c>
      <c r="J41" s="372"/>
      <c r="K41" s="329">
        <v>21000</v>
      </c>
      <c r="L41" s="254">
        <v>1.2727999999999999</v>
      </c>
      <c r="M41" s="440">
        <f t="shared" si="1"/>
        <v>26728.799999999999</v>
      </c>
    </row>
    <row r="42" spans="1:13" ht="17.100000000000001" customHeight="1" x14ac:dyDescent="0.25">
      <c r="A42" s="61" t="s">
        <v>324</v>
      </c>
      <c r="B42" s="275" t="s">
        <v>222</v>
      </c>
      <c r="C42" s="61" t="s">
        <v>205</v>
      </c>
      <c r="D42" s="337">
        <v>2500</v>
      </c>
      <c r="E42" s="59">
        <v>22274</v>
      </c>
      <c r="F42" s="278">
        <f t="shared" si="3"/>
        <v>55685000</v>
      </c>
      <c r="G42" s="358"/>
      <c r="H42" s="253">
        <v>12500</v>
      </c>
      <c r="I42" s="277">
        <v>1.4</v>
      </c>
      <c r="J42" s="372"/>
      <c r="K42" s="329">
        <v>17500</v>
      </c>
      <c r="L42" s="254">
        <v>1.2727999999999999</v>
      </c>
      <c r="M42" s="440">
        <f t="shared" si="1"/>
        <v>22274</v>
      </c>
    </row>
    <row r="43" spans="1:13" ht="17.100000000000001" customHeight="1" x14ac:dyDescent="0.25">
      <c r="A43" s="61" t="s">
        <v>325</v>
      </c>
      <c r="B43" s="275" t="s">
        <v>311</v>
      </c>
      <c r="C43" s="61" t="s">
        <v>203</v>
      </c>
      <c r="D43" s="337">
        <v>41</v>
      </c>
      <c r="E43" s="59">
        <v>44548</v>
      </c>
      <c r="F43" s="278">
        <f t="shared" si="3"/>
        <v>1826468</v>
      </c>
      <c r="G43" s="358"/>
      <c r="H43" s="253">
        <v>25000</v>
      </c>
      <c r="I43" s="277">
        <v>1.4</v>
      </c>
      <c r="J43" s="372"/>
      <c r="K43" s="329">
        <v>35000</v>
      </c>
      <c r="L43" s="254">
        <v>1.2727999999999999</v>
      </c>
      <c r="M43" s="440">
        <f t="shared" si="1"/>
        <v>44548</v>
      </c>
    </row>
    <row r="44" spans="1:13" ht="17.100000000000001" customHeight="1" x14ac:dyDescent="0.25">
      <c r="A44" s="61" t="s">
        <v>326</v>
      </c>
      <c r="B44" s="275" t="s">
        <v>223</v>
      </c>
      <c r="C44" s="61" t="s">
        <v>205</v>
      </c>
      <c r="D44" s="337">
        <v>350</v>
      </c>
      <c r="E44" s="59">
        <v>2672.8799999999997</v>
      </c>
      <c r="F44" s="278">
        <f t="shared" si="3"/>
        <v>935507.99999999988</v>
      </c>
      <c r="G44" s="358"/>
      <c r="H44" s="253">
        <v>1500</v>
      </c>
      <c r="I44" s="277">
        <v>1.4</v>
      </c>
      <c r="J44" s="372"/>
      <c r="K44" s="329">
        <v>2100</v>
      </c>
      <c r="L44" s="254">
        <v>1.2727999999999999</v>
      </c>
      <c r="M44" s="440">
        <f t="shared" si="1"/>
        <v>2672.8799999999997</v>
      </c>
    </row>
    <row r="45" spans="1:13" ht="17.100000000000001" customHeight="1" x14ac:dyDescent="0.25">
      <c r="A45" s="61" t="s">
        <v>327</v>
      </c>
      <c r="B45" s="275" t="s">
        <v>488</v>
      </c>
      <c r="C45" s="61" t="s">
        <v>329</v>
      </c>
      <c r="D45" s="337">
        <v>20</v>
      </c>
      <c r="E45" s="59">
        <v>169282.4</v>
      </c>
      <c r="F45" s="278">
        <f t="shared" si="3"/>
        <v>3385648</v>
      </c>
      <c r="G45" s="358"/>
      <c r="H45" s="253">
        <v>95000</v>
      </c>
      <c r="I45" s="277">
        <v>1.4</v>
      </c>
      <c r="J45" s="372"/>
      <c r="K45" s="329">
        <v>133000</v>
      </c>
      <c r="L45" s="254">
        <v>1.2727999999999999</v>
      </c>
      <c r="M45" s="440">
        <f t="shared" si="1"/>
        <v>169282.4</v>
      </c>
    </row>
    <row r="46" spans="1:13" ht="17.100000000000001" customHeight="1" x14ac:dyDescent="0.25">
      <c r="A46" s="61"/>
      <c r="B46" s="275"/>
      <c r="C46" s="61"/>
      <c r="D46" s="337"/>
      <c r="E46" s="59"/>
      <c r="F46" s="278"/>
      <c r="G46" s="358"/>
      <c r="I46" s="277"/>
      <c r="J46" s="372"/>
    </row>
    <row r="47" spans="1:13" s="272" customFormat="1" ht="17.100000000000001" customHeight="1" x14ac:dyDescent="0.25">
      <c r="A47" s="267" t="s">
        <v>330</v>
      </c>
      <c r="B47" s="273" t="s">
        <v>489</v>
      </c>
      <c r="C47" s="267"/>
      <c r="D47" s="337"/>
      <c r="E47" s="59"/>
      <c r="F47" s="276"/>
      <c r="G47" s="359"/>
      <c r="H47" s="274"/>
      <c r="I47" s="277">
        <v>1.4</v>
      </c>
      <c r="J47" s="372"/>
      <c r="K47" s="376">
        <v>0</v>
      </c>
      <c r="L47" s="254">
        <v>1.2727999999999999</v>
      </c>
      <c r="M47" s="440">
        <f t="shared" si="1"/>
        <v>0</v>
      </c>
    </row>
    <row r="48" spans="1:13" s="450" customFormat="1" ht="17.100000000000001" customHeight="1" x14ac:dyDescent="0.25">
      <c r="A48" s="242" t="s">
        <v>289</v>
      </c>
      <c r="B48" s="445" t="s">
        <v>577</v>
      </c>
      <c r="C48" s="242" t="s">
        <v>205</v>
      </c>
      <c r="D48" s="439">
        <v>2200</v>
      </c>
      <c r="E48" s="226">
        <f>M48</f>
        <v>19645.667999999998</v>
      </c>
      <c r="F48" s="446">
        <f>+E48*D48</f>
        <v>43220469.599999994</v>
      </c>
      <c r="G48" s="447"/>
      <c r="H48" s="448">
        <v>11025</v>
      </c>
      <c r="I48" s="449">
        <v>1.4</v>
      </c>
      <c r="J48" s="449"/>
      <c r="K48" s="448">
        <f>H48*I48</f>
        <v>15434.999999999998</v>
      </c>
      <c r="L48" s="450">
        <v>1.2727999999999999</v>
      </c>
      <c r="M48" s="451">
        <f t="shared" si="1"/>
        <v>19645.667999999998</v>
      </c>
    </row>
    <row r="49" spans="1:13" ht="17.100000000000001" customHeight="1" x14ac:dyDescent="0.25">
      <c r="A49" s="61" t="s">
        <v>332</v>
      </c>
      <c r="B49" s="275" t="s">
        <v>292</v>
      </c>
      <c r="C49" s="61" t="s">
        <v>205</v>
      </c>
      <c r="D49" s="337">
        <v>2200</v>
      </c>
      <c r="E49" s="59">
        <v>4410.2519999999995</v>
      </c>
      <c r="F49" s="276">
        <f t="shared" si="0"/>
        <v>9702554.3999999985</v>
      </c>
      <c r="G49" s="359"/>
      <c r="H49" s="253">
        <v>2475</v>
      </c>
      <c r="I49" s="277">
        <v>1.4</v>
      </c>
      <c r="J49" s="372"/>
      <c r="K49" s="329">
        <v>3465</v>
      </c>
      <c r="L49" s="254">
        <v>1.2727999999999999</v>
      </c>
      <c r="M49" s="440">
        <f t="shared" si="1"/>
        <v>4410.2519999999995</v>
      </c>
    </row>
    <row r="50" spans="1:13" ht="17.100000000000001" customHeight="1" x14ac:dyDescent="0.25">
      <c r="A50" s="61" t="s">
        <v>333</v>
      </c>
      <c r="B50" s="275" t="s">
        <v>334</v>
      </c>
      <c r="C50" s="61" t="s">
        <v>205</v>
      </c>
      <c r="D50" s="337">
        <v>400</v>
      </c>
      <c r="E50" s="59">
        <v>1719.5527999999999</v>
      </c>
      <c r="F50" s="276">
        <f t="shared" si="0"/>
        <v>687821.12</v>
      </c>
      <c r="G50" s="359"/>
      <c r="H50" s="253">
        <v>965</v>
      </c>
      <c r="I50" s="277">
        <v>1.4</v>
      </c>
      <c r="J50" s="372"/>
      <c r="K50" s="329">
        <v>1351</v>
      </c>
      <c r="L50" s="254">
        <v>1.2727999999999999</v>
      </c>
      <c r="M50" s="440">
        <f t="shared" si="1"/>
        <v>1719.5527999999999</v>
      </c>
    </row>
    <row r="51" spans="1:13" ht="17.100000000000001" customHeight="1" x14ac:dyDescent="0.25">
      <c r="A51" s="377" t="s">
        <v>335</v>
      </c>
      <c r="B51" s="378" t="s">
        <v>216</v>
      </c>
      <c r="C51" s="377" t="s">
        <v>203</v>
      </c>
      <c r="D51" s="379">
        <v>230</v>
      </c>
      <c r="E51" s="380">
        <v>4632.9919999999993</v>
      </c>
      <c r="F51" s="407">
        <f t="shared" si="0"/>
        <v>1065588.1599999999</v>
      </c>
      <c r="G51" s="359"/>
      <c r="H51" s="253">
        <v>2600</v>
      </c>
      <c r="I51" s="277">
        <v>1.4</v>
      </c>
      <c r="J51" s="372"/>
      <c r="K51" s="329">
        <v>3639.9999999999995</v>
      </c>
      <c r="L51" s="254">
        <v>1.2727999999999999</v>
      </c>
      <c r="M51" s="440">
        <f t="shared" si="1"/>
        <v>4632.9919999999993</v>
      </c>
    </row>
    <row r="52" spans="1:13" ht="17.100000000000001" customHeight="1" x14ac:dyDescent="0.25">
      <c r="A52" s="390"/>
      <c r="B52" s="391"/>
      <c r="C52" s="390"/>
      <c r="D52" s="392"/>
      <c r="E52" s="393"/>
      <c r="F52" s="436"/>
      <c r="G52" s="359"/>
      <c r="I52" s="277"/>
      <c r="J52" s="372"/>
    </row>
    <row r="53" spans="1:13" ht="17.100000000000001" customHeight="1" x14ac:dyDescent="0.25">
      <c r="A53" s="433"/>
      <c r="B53" s="434"/>
      <c r="C53" s="433"/>
      <c r="D53" s="384"/>
      <c r="E53" s="385"/>
      <c r="F53" s="357"/>
      <c r="G53" s="359"/>
      <c r="I53" s="277"/>
      <c r="J53" s="372"/>
    </row>
    <row r="54" spans="1:13" ht="17.100000000000001" customHeight="1" x14ac:dyDescent="0.25">
      <c r="A54" s="433"/>
      <c r="B54" s="434"/>
      <c r="C54" s="433"/>
      <c r="D54" s="384"/>
      <c r="E54" s="385"/>
      <c r="F54" s="357"/>
      <c r="G54" s="359"/>
      <c r="I54" s="277"/>
      <c r="J54" s="372"/>
    </row>
    <row r="55" spans="1:13" ht="17.100000000000001" customHeight="1" x14ac:dyDescent="0.25">
      <c r="A55" s="433"/>
      <c r="B55" s="434"/>
      <c r="C55" s="433"/>
      <c r="D55" s="384"/>
      <c r="E55" s="385"/>
      <c r="F55" s="357"/>
      <c r="G55" s="359"/>
      <c r="I55" s="277"/>
      <c r="J55" s="372"/>
    </row>
    <row r="56" spans="1:13" ht="17.100000000000001" customHeight="1" x14ac:dyDescent="0.25">
      <c r="A56" s="437" t="s">
        <v>568</v>
      </c>
      <c r="B56" s="434"/>
      <c r="C56" s="433"/>
      <c r="D56" s="384"/>
      <c r="E56" s="385"/>
      <c r="F56" s="357"/>
      <c r="G56" s="359"/>
      <c r="I56" s="277"/>
      <c r="J56" s="372"/>
    </row>
    <row r="57" spans="1:13" ht="17.100000000000001" customHeight="1" x14ac:dyDescent="0.25">
      <c r="A57" s="386"/>
      <c r="B57" s="387"/>
      <c r="C57" s="386"/>
      <c r="D57" s="388"/>
      <c r="E57" s="389"/>
      <c r="F57" s="435"/>
      <c r="G57" s="359"/>
      <c r="I57" s="277"/>
      <c r="J57" s="372"/>
    </row>
    <row r="58" spans="1:13" ht="17.100000000000001" customHeight="1" x14ac:dyDescent="0.25">
      <c r="A58" s="408" t="s">
        <v>336</v>
      </c>
      <c r="B58" s="432" t="s">
        <v>298</v>
      </c>
      <c r="C58" s="408" t="s">
        <v>203</v>
      </c>
      <c r="D58" s="381">
        <v>230</v>
      </c>
      <c r="E58" s="382">
        <v>7243.5047999999997</v>
      </c>
      <c r="F58" s="383">
        <f t="shared" si="0"/>
        <v>1666006.1039999998</v>
      </c>
      <c r="G58" s="359"/>
      <c r="H58" s="253">
        <v>4065</v>
      </c>
      <c r="I58" s="277">
        <v>1.4</v>
      </c>
      <c r="J58" s="372"/>
      <c r="K58" s="329">
        <v>5691</v>
      </c>
      <c r="L58" s="254">
        <v>1.2727999999999999</v>
      </c>
      <c r="M58" s="440">
        <f t="shared" si="1"/>
        <v>7243.5047999999997</v>
      </c>
    </row>
    <row r="59" spans="1:13" ht="17.100000000000001" customHeight="1" x14ac:dyDescent="0.25">
      <c r="A59" s="61" t="s">
        <v>337</v>
      </c>
      <c r="B59" s="275" t="s">
        <v>218</v>
      </c>
      <c r="C59" s="61" t="s">
        <v>205</v>
      </c>
      <c r="D59" s="337">
        <v>4000</v>
      </c>
      <c r="E59" s="59">
        <v>2672.8799999999997</v>
      </c>
      <c r="F59" s="276">
        <f t="shared" si="0"/>
        <v>10691519.999999998</v>
      </c>
      <c r="G59" s="359"/>
      <c r="H59" s="253">
        <v>1500</v>
      </c>
      <c r="I59" s="277">
        <v>1.4</v>
      </c>
      <c r="J59" s="372"/>
      <c r="K59" s="329">
        <v>2100</v>
      </c>
      <c r="L59" s="254">
        <v>1.2727999999999999</v>
      </c>
      <c r="M59" s="440">
        <f t="shared" si="1"/>
        <v>2672.8799999999997</v>
      </c>
    </row>
    <row r="60" spans="1:13" ht="17.100000000000001" customHeight="1" x14ac:dyDescent="0.25">
      <c r="A60" s="61" t="s">
        <v>338</v>
      </c>
      <c r="B60" s="275" t="s">
        <v>202</v>
      </c>
      <c r="C60" s="61" t="s">
        <v>205</v>
      </c>
      <c r="D60" s="337">
        <v>800</v>
      </c>
      <c r="E60" s="59">
        <v>258.3784</v>
      </c>
      <c r="F60" s="276">
        <f t="shared" si="0"/>
        <v>206702.72</v>
      </c>
      <c r="G60" s="359"/>
      <c r="H60" s="253">
        <v>145</v>
      </c>
      <c r="I60" s="277">
        <v>1.4</v>
      </c>
      <c r="J60" s="372"/>
      <c r="K60" s="329">
        <v>203</v>
      </c>
      <c r="L60" s="254">
        <v>1.2727999999999999</v>
      </c>
      <c r="M60" s="440">
        <f t="shared" si="1"/>
        <v>258.3784</v>
      </c>
    </row>
    <row r="61" spans="1:13" ht="17.100000000000001" customHeight="1" x14ac:dyDescent="0.25">
      <c r="A61" s="61" t="s">
        <v>339</v>
      </c>
      <c r="B61" s="275" t="s">
        <v>490</v>
      </c>
      <c r="C61" s="61" t="s">
        <v>203</v>
      </c>
      <c r="D61" s="337">
        <v>16</v>
      </c>
      <c r="E61" s="59">
        <v>15146.32</v>
      </c>
      <c r="F61" s="276">
        <f t="shared" si="0"/>
        <v>242341.12</v>
      </c>
      <c r="G61" s="359"/>
      <c r="H61" s="253">
        <v>8500</v>
      </c>
      <c r="I61" s="277">
        <v>1.4</v>
      </c>
      <c r="J61" s="372"/>
      <c r="K61" s="329">
        <v>11900</v>
      </c>
      <c r="L61" s="254">
        <v>1.2727999999999999</v>
      </c>
      <c r="M61" s="440">
        <f t="shared" si="1"/>
        <v>15146.32</v>
      </c>
    </row>
    <row r="62" spans="1:13" ht="17.100000000000001" customHeight="1" x14ac:dyDescent="0.25">
      <c r="A62" s="61" t="s">
        <v>340</v>
      </c>
      <c r="B62" s="275" t="s">
        <v>485</v>
      </c>
      <c r="C62" s="61" t="s">
        <v>203</v>
      </c>
      <c r="D62" s="337">
        <v>16</v>
      </c>
      <c r="E62" s="59">
        <v>5078.4719999999988</v>
      </c>
      <c r="F62" s="276">
        <f t="shared" si="0"/>
        <v>81255.551999999981</v>
      </c>
      <c r="G62" s="359"/>
      <c r="H62" s="253">
        <v>2850</v>
      </c>
      <c r="I62" s="277">
        <v>1.4</v>
      </c>
      <c r="J62" s="372"/>
      <c r="K62" s="329">
        <v>3989.9999999999995</v>
      </c>
      <c r="L62" s="254">
        <v>1.2727999999999999</v>
      </c>
      <c r="M62" s="440">
        <f t="shared" si="1"/>
        <v>5078.4719999999988</v>
      </c>
    </row>
    <row r="63" spans="1:13" ht="17.100000000000001" customHeight="1" x14ac:dyDescent="0.25">
      <c r="A63" s="61" t="s">
        <v>341</v>
      </c>
      <c r="B63" s="275" t="s">
        <v>304</v>
      </c>
      <c r="C63" s="61" t="s">
        <v>203</v>
      </c>
      <c r="D63" s="337">
        <v>16</v>
      </c>
      <c r="E63" s="59">
        <v>22274</v>
      </c>
      <c r="F63" s="278">
        <f t="shared" ref="F63:F67" si="4">+D63*E63</f>
        <v>356384</v>
      </c>
      <c r="G63" s="358"/>
      <c r="H63" s="253">
        <v>12500</v>
      </c>
      <c r="I63" s="277">
        <v>1.4</v>
      </c>
      <c r="J63" s="372"/>
      <c r="K63" s="329">
        <v>17500</v>
      </c>
      <c r="L63" s="254">
        <v>1.2727999999999999</v>
      </c>
      <c r="M63" s="440">
        <f t="shared" si="1"/>
        <v>22274</v>
      </c>
    </row>
    <row r="64" spans="1:13" ht="17.100000000000001" customHeight="1" x14ac:dyDescent="0.25">
      <c r="A64" s="61" t="s">
        <v>342</v>
      </c>
      <c r="B64" s="275" t="s">
        <v>222</v>
      </c>
      <c r="C64" s="61" t="s">
        <v>205</v>
      </c>
      <c r="D64" s="337">
        <v>700</v>
      </c>
      <c r="E64" s="59">
        <v>22274</v>
      </c>
      <c r="F64" s="278">
        <f t="shared" si="4"/>
        <v>15591800</v>
      </c>
      <c r="G64" s="358"/>
      <c r="H64" s="253">
        <v>12500</v>
      </c>
      <c r="I64" s="277">
        <v>1.4</v>
      </c>
      <c r="J64" s="372"/>
      <c r="K64" s="329">
        <v>17500</v>
      </c>
      <c r="L64" s="254">
        <v>1.2727999999999999</v>
      </c>
      <c r="M64" s="440">
        <f t="shared" si="1"/>
        <v>22274</v>
      </c>
    </row>
    <row r="65" spans="1:13" ht="17.100000000000001" customHeight="1" x14ac:dyDescent="0.25">
      <c r="A65" s="61" t="s">
        <v>343</v>
      </c>
      <c r="B65" s="275" t="s">
        <v>223</v>
      </c>
      <c r="C65" s="61" t="s">
        <v>205</v>
      </c>
      <c r="D65" s="337">
        <v>800</v>
      </c>
      <c r="E65" s="59">
        <v>2672.8799999999997</v>
      </c>
      <c r="F65" s="278">
        <f t="shared" si="4"/>
        <v>2138303.9999999995</v>
      </c>
      <c r="G65" s="358"/>
      <c r="H65" s="253">
        <v>1500</v>
      </c>
      <c r="I65" s="277">
        <v>1.4</v>
      </c>
      <c r="J65" s="372"/>
      <c r="K65" s="329">
        <v>2100</v>
      </c>
      <c r="L65" s="254">
        <v>1.2727999999999999</v>
      </c>
      <c r="M65" s="440">
        <f t="shared" si="1"/>
        <v>2672.8799999999997</v>
      </c>
    </row>
    <row r="66" spans="1:13" ht="17.100000000000001" customHeight="1" x14ac:dyDescent="0.25">
      <c r="A66" s="61" t="s">
        <v>344</v>
      </c>
      <c r="B66" s="275" t="s">
        <v>311</v>
      </c>
      <c r="C66" s="61" t="s">
        <v>203</v>
      </c>
      <c r="D66" s="337">
        <v>16</v>
      </c>
      <c r="E66" s="59">
        <v>44548</v>
      </c>
      <c r="F66" s="278">
        <f t="shared" si="4"/>
        <v>712768</v>
      </c>
      <c r="G66" s="358"/>
      <c r="H66" s="253">
        <v>25000</v>
      </c>
      <c r="I66" s="277">
        <v>1.4</v>
      </c>
      <c r="J66" s="372"/>
      <c r="K66" s="329">
        <v>35000</v>
      </c>
      <c r="L66" s="254">
        <v>1.2727999999999999</v>
      </c>
      <c r="M66" s="440">
        <f t="shared" si="1"/>
        <v>44548</v>
      </c>
    </row>
    <row r="67" spans="1:13" ht="17.100000000000001" customHeight="1" x14ac:dyDescent="0.25">
      <c r="A67" s="61" t="s">
        <v>345</v>
      </c>
      <c r="B67" s="275" t="s">
        <v>488</v>
      </c>
      <c r="C67" s="61" t="s">
        <v>329</v>
      </c>
      <c r="D67" s="337">
        <v>20</v>
      </c>
      <c r="E67" s="59">
        <v>169282.4</v>
      </c>
      <c r="F67" s="278">
        <f t="shared" si="4"/>
        <v>3385648</v>
      </c>
      <c r="G67" s="358"/>
      <c r="H67" s="253">
        <v>95000</v>
      </c>
      <c r="I67" s="277">
        <v>1.4</v>
      </c>
      <c r="J67" s="372"/>
      <c r="K67" s="329">
        <v>133000</v>
      </c>
      <c r="L67" s="254">
        <v>1.2727999999999999</v>
      </c>
      <c r="M67" s="440">
        <f t="shared" si="1"/>
        <v>169282.4</v>
      </c>
    </row>
    <row r="68" spans="1:13" ht="17.100000000000001" customHeight="1" x14ac:dyDescent="0.25">
      <c r="A68" s="61"/>
      <c r="B68" s="275"/>
      <c r="C68" s="61"/>
      <c r="D68" s="337"/>
      <c r="E68" s="59"/>
      <c r="F68" s="278"/>
      <c r="G68" s="358"/>
      <c r="I68" s="277"/>
      <c r="J68" s="372"/>
      <c r="K68" s="329">
        <v>0</v>
      </c>
      <c r="L68" s="254">
        <v>1.2727999999999999</v>
      </c>
      <c r="M68" s="440">
        <f t="shared" si="1"/>
        <v>0</v>
      </c>
    </row>
    <row r="69" spans="1:13" s="272" customFormat="1" ht="32.25" customHeight="1" x14ac:dyDescent="0.25">
      <c r="A69" s="267" t="s">
        <v>346</v>
      </c>
      <c r="B69" s="281" t="s">
        <v>491</v>
      </c>
      <c r="C69" s="267"/>
      <c r="D69" s="336"/>
      <c r="E69" s="59"/>
      <c r="F69" s="276"/>
      <c r="G69" s="359"/>
      <c r="H69" s="274"/>
      <c r="I69" s="277"/>
      <c r="J69" s="372"/>
      <c r="K69" s="376">
        <v>0</v>
      </c>
      <c r="L69" s="254">
        <v>1.2727999999999999</v>
      </c>
      <c r="M69" s="440">
        <f t="shared" si="1"/>
        <v>0</v>
      </c>
    </row>
    <row r="70" spans="1:13" ht="17.100000000000001" customHeight="1" x14ac:dyDescent="0.25">
      <c r="A70" s="61" t="s">
        <v>347</v>
      </c>
      <c r="B70" s="275" t="s">
        <v>292</v>
      </c>
      <c r="C70" s="61" t="s">
        <v>205</v>
      </c>
      <c r="D70" s="337">
        <v>500</v>
      </c>
      <c r="E70" s="59">
        <v>4410.2519999999995</v>
      </c>
      <c r="F70" s="276">
        <f t="shared" si="0"/>
        <v>2205125.9999999995</v>
      </c>
      <c r="G70" s="359"/>
      <c r="H70" s="253">
        <v>2475</v>
      </c>
      <c r="I70" s="277">
        <v>1.4</v>
      </c>
      <c r="J70" s="372"/>
      <c r="K70" s="329">
        <v>3465</v>
      </c>
      <c r="L70" s="254">
        <v>1.2727999999999999</v>
      </c>
      <c r="M70" s="440">
        <f t="shared" si="1"/>
        <v>4410.2519999999995</v>
      </c>
    </row>
    <row r="71" spans="1:13" ht="17.100000000000001" customHeight="1" x14ac:dyDescent="0.25">
      <c r="A71" s="61" t="s">
        <v>348</v>
      </c>
      <c r="B71" s="275" t="s">
        <v>492</v>
      </c>
      <c r="C71" s="61" t="s">
        <v>203</v>
      </c>
      <c r="D71" s="337">
        <v>9</v>
      </c>
      <c r="E71" s="59">
        <v>37272.420639999997</v>
      </c>
      <c r="F71" s="276">
        <f t="shared" si="0"/>
        <v>335451.78576</v>
      </c>
      <c r="G71" s="359"/>
      <c r="H71" s="253">
        <v>20917</v>
      </c>
      <c r="I71" s="277">
        <v>1.4</v>
      </c>
      <c r="J71" s="372"/>
      <c r="K71" s="329">
        <v>29283.8</v>
      </c>
      <c r="L71" s="254">
        <v>1.2727999999999999</v>
      </c>
      <c r="M71" s="440">
        <f t="shared" si="1"/>
        <v>37272.420639999997</v>
      </c>
    </row>
    <row r="72" spans="1:13" ht="17.100000000000001" customHeight="1" x14ac:dyDescent="0.25">
      <c r="A72" s="61" t="s">
        <v>349</v>
      </c>
      <c r="B72" s="275" t="s">
        <v>493</v>
      </c>
      <c r="C72" s="61" t="s">
        <v>205</v>
      </c>
      <c r="D72" s="337">
        <v>9</v>
      </c>
      <c r="E72" s="59">
        <v>8767.0463999999993</v>
      </c>
      <c r="F72" s="276">
        <f t="shared" si="0"/>
        <v>78903.417599999986</v>
      </c>
      <c r="G72" s="359"/>
      <c r="H72" s="253">
        <v>4920</v>
      </c>
      <c r="I72" s="277">
        <v>1.4</v>
      </c>
      <c r="J72" s="372"/>
      <c r="K72" s="329">
        <v>6888</v>
      </c>
      <c r="L72" s="254">
        <v>1.2727999999999999</v>
      </c>
      <c r="M72" s="440">
        <f t="shared" si="1"/>
        <v>8767.0463999999993</v>
      </c>
    </row>
    <row r="73" spans="1:13" ht="17.100000000000001" customHeight="1" x14ac:dyDescent="0.25">
      <c r="A73" s="61" t="s">
        <v>351</v>
      </c>
      <c r="B73" s="275" t="s">
        <v>231</v>
      </c>
      <c r="C73" s="61" t="s">
        <v>203</v>
      </c>
      <c r="D73" s="337">
        <v>1</v>
      </c>
      <c r="E73" s="59">
        <v>6236.7199999999993</v>
      </c>
      <c r="F73" s="276">
        <f t="shared" si="0"/>
        <v>6236.7199999999993</v>
      </c>
      <c r="G73" s="359"/>
      <c r="H73" s="253">
        <v>3500</v>
      </c>
      <c r="I73" s="277">
        <v>1.4</v>
      </c>
      <c r="J73" s="372"/>
      <c r="K73" s="329">
        <v>4900</v>
      </c>
      <c r="L73" s="254">
        <v>1.2727999999999999</v>
      </c>
      <c r="M73" s="440">
        <f t="shared" si="1"/>
        <v>6236.7199999999993</v>
      </c>
    </row>
    <row r="74" spans="1:13" ht="17.100000000000001" customHeight="1" x14ac:dyDescent="0.25">
      <c r="A74" s="61" t="s">
        <v>352</v>
      </c>
      <c r="B74" s="275" t="s">
        <v>232</v>
      </c>
      <c r="C74" s="61" t="s">
        <v>203</v>
      </c>
      <c r="D74" s="337">
        <v>1</v>
      </c>
      <c r="E74" s="59">
        <v>12389.689759999997</v>
      </c>
      <c r="F74" s="276">
        <f t="shared" si="0"/>
        <v>12389.689759999997</v>
      </c>
      <c r="G74" s="359"/>
      <c r="H74" s="253">
        <v>6953</v>
      </c>
      <c r="I74" s="277">
        <v>1.4</v>
      </c>
      <c r="J74" s="372"/>
      <c r="K74" s="329">
        <v>9734.1999999999989</v>
      </c>
      <c r="L74" s="254">
        <v>1.2727999999999999</v>
      </c>
      <c r="M74" s="440">
        <f t="shared" si="1"/>
        <v>12389.689759999997</v>
      </c>
    </row>
    <row r="75" spans="1:13" ht="17.100000000000001" customHeight="1" x14ac:dyDescent="0.25">
      <c r="A75" s="61" t="s">
        <v>353</v>
      </c>
      <c r="B75" s="275" t="s">
        <v>233</v>
      </c>
      <c r="C75" s="61" t="s">
        <v>203</v>
      </c>
      <c r="D75" s="337">
        <v>1</v>
      </c>
      <c r="E75" s="59">
        <v>12389.689759999997</v>
      </c>
      <c r="F75" s="276">
        <f t="shared" si="0"/>
        <v>12389.689759999997</v>
      </c>
      <c r="G75" s="359"/>
      <c r="H75" s="253">
        <v>6953</v>
      </c>
      <c r="I75" s="277">
        <v>1.4</v>
      </c>
      <c r="J75" s="372"/>
      <c r="K75" s="329">
        <v>9734.1999999999989</v>
      </c>
      <c r="L75" s="254">
        <v>1.2727999999999999</v>
      </c>
      <c r="M75" s="440">
        <f t="shared" si="1"/>
        <v>12389.689759999997</v>
      </c>
    </row>
    <row r="76" spans="1:13" ht="17.100000000000001" customHeight="1" x14ac:dyDescent="0.25">
      <c r="A76" s="61" t="s">
        <v>354</v>
      </c>
      <c r="B76" s="275" t="s">
        <v>234</v>
      </c>
      <c r="C76" s="61" t="s">
        <v>203</v>
      </c>
      <c r="D76" s="337">
        <v>4</v>
      </c>
      <c r="E76" s="59">
        <v>4454.8</v>
      </c>
      <c r="F76" s="276">
        <f t="shared" si="0"/>
        <v>17819.2</v>
      </c>
      <c r="G76" s="359"/>
      <c r="H76" s="253">
        <v>2500</v>
      </c>
      <c r="I76" s="277">
        <v>1.4</v>
      </c>
      <c r="J76" s="372"/>
      <c r="K76" s="329">
        <v>3500</v>
      </c>
      <c r="L76" s="254">
        <v>1.2727999999999999</v>
      </c>
      <c r="M76" s="440">
        <f t="shared" si="1"/>
        <v>4454.8</v>
      </c>
    </row>
    <row r="77" spans="1:13" ht="17.100000000000001" customHeight="1" x14ac:dyDescent="0.25">
      <c r="A77" s="61" t="s">
        <v>355</v>
      </c>
      <c r="B77" s="275" t="s">
        <v>235</v>
      </c>
      <c r="C77" s="61" t="s">
        <v>203</v>
      </c>
      <c r="D77" s="337">
        <v>1</v>
      </c>
      <c r="E77" s="59">
        <v>220512.59999999998</v>
      </c>
      <c r="F77" s="276">
        <f t="shared" si="0"/>
        <v>220512.59999999998</v>
      </c>
      <c r="G77" s="359"/>
      <c r="H77" s="253">
        <v>123750</v>
      </c>
      <c r="I77" s="277">
        <v>1.4</v>
      </c>
      <c r="J77" s="372"/>
      <c r="K77" s="329">
        <v>173250</v>
      </c>
      <c r="L77" s="254">
        <v>1.2727999999999999</v>
      </c>
      <c r="M77" s="440">
        <f t="shared" si="1"/>
        <v>220512.59999999998</v>
      </c>
    </row>
    <row r="78" spans="1:13" ht="17.100000000000001" customHeight="1" x14ac:dyDescent="0.25">
      <c r="A78" s="61" t="s">
        <v>356</v>
      </c>
      <c r="B78" s="275" t="s">
        <v>357</v>
      </c>
      <c r="C78" s="61" t="s">
        <v>203</v>
      </c>
      <c r="D78" s="337">
        <v>2</v>
      </c>
      <c r="E78" s="59">
        <v>166010.79487999997</v>
      </c>
      <c r="F78" s="276">
        <f t="shared" si="0"/>
        <v>332021.58975999994</v>
      </c>
      <c r="G78" s="359"/>
      <c r="H78" s="253">
        <v>93164</v>
      </c>
      <c r="I78" s="277">
        <v>1.4</v>
      </c>
      <c r="J78" s="372"/>
      <c r="K78" s="329">
        <v>130429.59999999999</v>
      </c>
      <c r="L78" s="254">
        <v>1.2727999999999999</v>
      </c>
      <c r="M78" s="440">
        <f t="shared" si="1"/>
        <v>166010.79487999997</v>
      </c>
    </row>
    <row r="79" spans="1:13" ht="17.100000000000001" customHeight="1" x14ac:dyDescent="0.25">
      <c r="A79" s="61" t="s">
        <v>358</v>
      </c>
      <c r="B79" s="275" t="s">
        <v>237</v>
      </c>
      <c r="C79" s="61" t="s">
        <v>203</v>
      </c>
      <c r="D79" s="337">
        <v>6</v>
      </c>
      <c r="E79" s="59">
        <v>37673.352639999997</v>
      </c>
      <c r="F79" s="276">
        <f t="shared" si="0"/>
        <v>226040.11583999998</v>
      </c>
      <c r="G79" s="359"/>
      <c r="H79" s="253">
        <v>21142</v>
      </c>
      <c r="I79" s="277">
        <v>1.4</v>
      </c>
      <c r="J79" s="372"/>
      <c r="K79" s="329">
        <v>29598.799999999999</v>
      </c>
      <c r="L79" s="254">
        <v>1.2727999999999999</v>
      </c>
      <c r="M79" s="440">
        <f t="shared" si="1"/>
        <v>37673.352639999997</v>
      </c>
    </row>
    <row r="80" spans="1:13" ht="17.100000000000001" customHeight="1" x14ac:dyDescent="0.25">
      <c r="A80" s="61" t="s">
        <v>359</v>
      </c>
      <c r="B80" s="275" t="s">
        <v>238</v>
      </c>
      <c r="C80" s="61" t="s">
        <v>203</v>
      </c>
      <c r="D80" s="337">
        <v>2</v>
      </c>
      <c r="E80" s="59">
        <v>68195.860319999992</v>
      </c>
      <c r="F80" s="276">
        <f t="shared" si="0"/>
        <v>136391.72063999998</v>
      </c>
      <c r="G80" s="359"/>
      <c r="H80" s="253">
        <v>38271</v>
      </c>
      <c r="I80" s="277">
        <v>1.4</v>
      </c>
      <c r="J80" s="372"/>
      <c r="K80" s="329">
        <v>53579.399999999994</v>
      </c>
      <c r="L80" s="254">
        <v>1.2727999999999999</v>
      </c>
      <c r="M80" s="440">
        <f t="shared" si="1"/>
        <v>68195.860319999992</v>
      </c>
    </row>
    <row r="81" spans="1:13" ht="17.100000000000001" customHeight="1" x14ac:dyDescent="0.25">
      <c r="A81" s="61" t="s">
        <v>360</v>
      </c>
      <c r="B81" s="275" t="s">
        <v>239</v>
      </c>
      <c r="C81" s="61" t="s">
        <v>203</v>
      </c>
      <c r="D81" s="337">
        <v>2</v>
      </c>
      <c r="E81" s="59">
        <v>55909.521919999992</v>
      </c>
      <c r="F81" s="276">
        <f t="shared" si="0"/>
        <v>111819.04383999998</v>
      </c>
      <c r="G81" s="359"/>
      <c r="H81" s="253">
        <v>31376</v>
      </c>
      <c r="I81" s="277">
        <v>1.4</v>
      </c>
      <c r="J81" s="372"/>
      <c r="K81" s="329">
        <v>43926.399999999994</v>
      </c>
      <c r="L81" s="254">
        <v>1.2727999999999999</v>
      </c>
      <c r="M81" s="440">
        <f t="shared" si="1"/>
        <v>55909.521919999992</v>
      </c>
    </row>
    <row r="82" spans="1:13" ht="17.100000000000001" customHeight="1" x14ac:dyDescent="0.25">
      <c r="A82" s="61" t="s">
        <v>361</v>
      </c>
      <c r="B82" s="275" t="s">
        <v>240</v>
      </c>
      <c r="C82" s="61" t="s">
        <v>203</v>
      </c>
      <c r="D82" s="337">
        <v>2</v>
      </c>
      <c r="E82" s="59">
        <v>31272.696</v>
      </c>
      <c r="F82" s="276">
        <f t="shared" si="0"/>
        <v>62545.392</v>
      </c>
      <c r="G82" s="359"/>
      <c r="H82" s="253">
        <v>17550</v>
      </c>
      <c r="I82" s="277">
        <v>1.4</v>
      </c>
      <c r="J82" s="372"/>
      <c r="K82" s="329">
        <v>24570</v>
      </c>
      <c r="L82" s="254">
        <v>1.2727999999999999</v>
      </c>
      <c r="M82" s="440">
        <f t="shared" si="1"/>
        <v>31272.696</v>
      </c>
    </row>
    <row r="83" spans="1:13" ht="17.100000000000001" customHeight="1" x14ac:dyDescent="0.25">
      <c r="A83" s="61" t="s">
        <v>362</v>
      </c>
      <c r="B83" s="275" t="s">
        <v>363</v>
      </c>
      <c r="C83" s="61" t="s">
        <v>203</v>
      </c>
      <c r="D83" s="337">
        <v>2</v>
      </c>
      <c r="E83" s="59">
        <v>204432.55391999998</v>
      </c>
      <c r="F83" s="276">
        <f t="shared" si="0"/>
        <v>408865.10783999995</v>
      </c>
      <c r="G83" s="359"/>
      <c r="H83" s="253">
        <v>114726</v>
      </c>
      <c r="I83" s="277">
        <v>1.4</v>
      </c>
      <c r="J83" s="372"/>
      <c r="K83" s="329">
        <v>160616.4</v>
      </c>
      <c r="L83" s="254">
        <v>1.2727999999999999</v>
      </c>
      <c r="M83" s="440">
        <f t="shared" si="1"/>
        <v>204432.55391999998</v>
      </c>
    </row>
    <row r="84" spans="1:13" ht="17.100000000000001" customHeight="1" x14ac:dyDescent="0.25">
      <c r="A84" s="61" t="s">
        <v>364</v>
      </c>
      <c r="B84" s="275" t="s">
        <v>242</v>
      </c>
      <c r="C84" s="61" t="s">
        <v>205</v>
      </c>
      <c r="D84" s="337">
        <v>50</v>
      </c>
      <c r="E84" s="59">
        <v>7425.2606399999986</v>
      </c>
      <c r="F84" s="276">
        <f t="shared" si="0"/>
        <v>371263.03199999995</v>
      </c>
      <c r="G84" s="359"/>
      <c r="H84" s="253">
        <v>4167</v>
      </c>
      <c r="I84" s="277">
        <v>1.4</v>
      </c>
      <c r="J84" s="372"/>
      <c r="K84" s="329">
        <v>5833.7999999999993</v>
      </c>
      <c r="L84" s="254">
        <v>1.2727999999999999</v>
      </c>
      <c r="M84" s="440">
        <f t="shared" si="1"/>
        <v>7425.2606399999986</v>
      </c>
    </row>
    <row r="85" spans="1:13" ht="17.100000000000001" customHeight="1" x14ac:dyDescent="0.25">
      <c r="A85" s="61" t="s">
        <v>365</v>
      </c>
      <c r="B85" s="275" t="s">
        <v>243</v>
      </c>
      <c r="C85" s="61" t="s">
        <v>205</v>
      </c>
      <c r="D85" s="337">
        <v>20</v>
      </c>
      <c r="E85" s="59">
        <v>7425.2606399999986</v>
      </c>
      <c r="F85" s="276">
        <f t="shared" si="0"/>
        <v>148505.21279999998</v>
      </c>
      <c r="G85" s="359"/>
      <c r="H85" s="253">
        <v>4167</v>
      </c>
      <c r="I85" s="277">
        <v>1.4</v>
      </c>
      <c r="J85" s="372"/>
      <c r="K85" s="329">
        <v>5833.7999999999993</v>
      </c>
      <c r="L85" s="254">
        <v>1.2727999999999999</v>
      </c>
      <c r="M85" s="440">
        <f t="shared" si="1"/>
        <v>7425.2606399999986</v>
      </c>
    </row>
    <row r="86" spans="1:13" ht="17.100000000000001" customHeight="1" x14ac:dyDescent="0.25">
      <c r="A86" s="61" t="s">
        <v>366</v>
      </c>
      <c r="B86" s="275" t="s">
        <v>244</v>
      </c>
      <c r="C86" s="61" t="s">
        <v>205</v>
      </c>
      <c r="D86" s="337">
        <v>50</v>
      </c>
      <c r="E86" s="59">
        <v>6316.9063999999998</v>
      </c>
      <c r="F86" s="276">
        <f t="shared" si="0"/>
        <v>315845.32</v>
      </c>
      <c r="G86" s="359"/>
      <c r="H86" s="253">
        <v>3545</v>
      </c>
      <c r="I86" s="277">
        <v>1.4</v>
      </c>
      <c r="J86" s="372"/>
      <c r="K86" s="329">
        <v>4963</v>
      </c>
      <c r="L86" s="254">
        <v>1.2727999999999999</v>
      </c>
      <c r="M86" s="440">
        <f t="shared" si="1"/>
        <v>6316.9063999999998</v>
      </c>
    </row>
    <row r="87" spans="1:13" ht="17.100000000000001" customHeight="1" x14ac:dyDescent="0.25">
      <c r="A87" s="61" t="s">
        <v>367</v>
      </c>
      <c r="B87" s="275" t="s">
        <v>494</v>
      </c>
      <c r="C87" s="61" t="s">
        <v>205</v>
      </c>
      <c r="D87" s="337">
        <v>15</v>
      </c>
      <c r="E87" s="59">
        <v>6013.98</v>
      </c>
      <c r="F87" s="276">
        <f t="shared" si="0"/>
        <v>90209.7</v>
      </c>
      <c r="G87" s="359"/>
      <c r="H87" s="253">
        <v>3375</v>
      </c>
      <c r="I87" s="277">
        <v>1.4</v>
      </c>
      <c r="J87" s="372"/>
      <c r="K87" s="329">
        <v>4725</v>
      </c>
      <c r="L87" s="254">
        <v>1.2727999999999999</v>
      </c>
      <c r="M87" s="440">
        <f t="shared" ref="M87:M155" si="5">+K87*L87</f>
        <v>6013.98</v>
      </c>
    </row>
    <row r="88" spans="1:13" ht="17.100000000000001" customHeight="1" x14ac:dyDescent="0.25">
      <c r="A88" s="61" t="s">
        <v>368</v>
      </c>
      <c r="B88" s="275" t="s">
        <v>495</v>
      </c>
      <c r="C88" s="61" t="s">
        <v>205</v>
      </c>
      <c r="D88" s="337">
        <v>15</v>
      </c>
      <c r="E88" s="59">
        <v>946.19951999999989</v>
      </c>
      <c r="F88" s="276">
        <f t="shared" si="0"/>
        <v>14192.992799999998</v>
      </c>
      <c r="G88" s="359"/>
      <c r="H88" s="253">
        <v>531</v>
      </c>
      <c r="I88" s="277">
        <v>1.4</v>
      </c>
      <c r="J88" s="372"/>
      <c r="K88" s="329">
        <v>743.4</v>
      </c>
      <c r="L88" s="254">
        <v>1.2727999999999999</v>
      </c>
      <c r="M88" s="440">
        <f t="shared" si="5"/>
        <v>946.19951999999989</v>
      </c>
    </row>
    <row r="89" spans="1:13" ht="17.100000000000001" customHeight="1" x14ac:dyDescent="0.25">
      <c r="A89" s="61" t="s">
        <v>369</v>
      </c>
      <c r="B89" s="275" t="s">
        <v>496</v>
      </c>
      <c r="C89" s="61" t="s">
        <v>205</v>
      </c>
      <c r="D89" s="337">
        <v>10</v>
      </c>
      <c r="E89" s="59">
        <v>946.19951999999989</v>
      </c>
      <c r="F89" s="276">
        <f t="shared" si="0"/>
        <v>9461.9951999999994</v>
      </c>
      <c r="G89" s="359"/>
      <c r="H89" s="253">
        <v>531</v>
      </c>
      <c r="I89" s="277">
        <v>1.4</v>
      </c>
      <c r="J89" s="372"/>
      <c r="K89" s="329">
        <v>743.4</v>
      </c>
      <c r="L89" s="254">
        <v>1.2727999999999999</v>
      </c>
      <c r="M89" s="440">
        <f t="shared" si="5"/>
        <v>946.19951999999989</v>
      </c>
    </row>
    <row r="90" spans="1:13" ht="17.100000000000001" customHeight="1" x14ac:dyDescent="0.25">
      <c r="A90" s="61" t="s">
        <v>370</v>
      </c>
      <c r="B90" s="275" t="s">
        <v>248</v>
      </c>
      <c r="C90" s="61" t="s">
        <v>205</v>
      </c>
      <c r="D90" s="337">
        <v>1</v>
      </c>
      <c r="E90" s="59">
        <v>3066.6843199999994</v>
      </c>
      <c r="F90" s="276">
        <f t="shared" ref="F90:F163" si="6">+E90*D90</f>
        <v>3066.6843199999994</v>
      </c>
      <c r="G90" s="359"/>
      <c r="H90" s="253">
        <v>1721</v>
      </c>
      <c r="I90" s="277">
        <v>1.4</v>
      </c>
      <c r="J90" s="372"/>
      <c r="K90" s="329">
        <v>2409.3999999999996</v>
      </c>
      <c r="L90" s="254">
        <v>1.2727999999999999</v>
      </c>
      <c r="M90" s="440">
        <f t="shared" si="5"/>
        <v>3066.6843199999994</v>
      </c>
    </row>
    <row r="91" spans="1:13" ht="17.100000000000001" customHeight="1" x14ac:dyDescent="0.25">
      <c r="A91" s="61" t="s">
        <v>371</v>
      </c>
      <c r="B91" s="275" t="s">
        <v>497</v>
      </c>
      <c r="C91" s="61" t="s">
        <v>203</v>
      </c>
      <c r="D91" s="337">
        <v>200</v>
      </c>
      <c r="E91" s="59">
        <v>169.2824</v>
      </c>
      <c r="F91" s="276">
        <f t="shared" si="6"/>
        <v>33856.479999999996</v>
      </c>
      <c r="G91" s="359"/>
      <c r="H91" s="253">
        <v>95</v>
      </c>
      <c r="I91" s="277">
        <v>1.4</v>
      </c>
      <c r="J91" s="372"/>
      <c r="K91" s="329">
        <v>133</v>
      </c>
      <c r="L91" s="254">
        <v>1.2727999999999999</v>
      </c>
      <c r="M91" s="440">
        <f t="shared" si="5"/>
        <v>169.2824</v>
      </c>
    </row>
    <row r="92" spans="1:13" ht="17.100000000000001" customHeight="1" x14ac:dyDescent="0.25">
      <c r="A92" s="61" t="s">
        <v>372</v>
      </c>
      <c r="B92" s="275" t="s">
        <v>250</v>
      </c>
      <c r="C92" s="61" t="s">
        <v>203</v>
      </c>
      <c r="D92" s="337">
        <v>200</v>
      </c>
      <c r="E92" s="59">
        <v>147.89935999999997</v>
      </c>
      <c r="F92" s="276">
        <f t="shared" si="6"/>
        <v>29579.871999999996</v>
      </c>
      <c r="G92" s="359"/>
      <c r="H92" s="253">
        <v>83</v>
      </c>
      <c r="I92" s="277">
        <v>1.4</v>
      </c>
      <c r="J92" s="372"/>
      <c r="K92" s="329">
        <v>116.19999999999999</v>
      </c>
      <c r="L92" s="254">
        <v>1.2727999999999999</v>
      </c>
      <c r="M92" s="440">
        <f t="shared" si="5"/>
        <v>147.89935999999997</v>
      </c>
    </row>
    <row r="93" spans="1:13" ht="17.100000000000001" customHeight="1" x14ac:dyDescent="0.25">
      <c r="A93" s="61" t="s">
        <v>373</v>
      </c>
      <c r="B93" s="275" t="s">
        <v>251</v>
      </c>
      <c r="C93" s="61" t="s">
        <v>203</v>
      </c>
      <c r="D93" s="337">
        <v>25</v>
      </c>
      <c r="E93" s="59">
        <v>80.186399999999992</v>
      </c>
      <c r="F93" s="276">
        <f t="shared" si="6"/>
        <v>2004.6599999999999</v>
      </c>
      <c r="G93" s="359"/>
      <c r="H93" s="253">
        <v>45</v>
      </c>
      <c r="I93" s="277">
        <v>1.4</v>
      </c>
      <c r="J93" s="372"/>
      <c r="K93" s="329">
        <v>62.999999999999993</v>
      </c>
      <c r="L93" s="254">
        <v>1.2727999999999999</v>
      </c>
      <c r="M93" s="440">
        <f t="shared" si="5"/>
        <v>80.186399999999992</v>
      </c>
    </row>
    <row r="94" spans="1:13" ht="17.100000000000001" customHeight="1" x14ac:dyDescent="0.25">
      <c r="A94" s="61" t="s">
        <v>374</v>
      </c>
      <c r="B94" s="275" t="s">
        <v>252</v>
      </c>
      <c r="C94" s="61" t="s">
        <v>203</v>
      </c>
      <c r="D94" s="337">
        <v>100</v>
      </c>
      <c r="E94" s="59">
        <v>67.712959999999995</v>
      </c>
      <c r="F94" s="276">
        <f t="shared" si="6"/>
        <v>6771.2959999999994</v>
      </c>
      <c r="G94" s="359"/>
      <c r="H94" s="253">
        <v>38</v>
      </c>
      <c r="I94" s="277">
        <v>1.4</v>
      </c>
      <c r="J94" s="372"/>
      <c r="K94" s="329">
        <v>53.199999999999996</v>
      </c>
      <c r="L94" s="254">
        <v>1.2727999999999999</v>
      </c>
      <c r="M94" s="440">
        <f t="shared" si="5"/>
        <v>67.712959999999995</v>
      </c>
    </row>
    <row r="95" spans="1:13" ht="17.100000000000001" customHeight="1" x14ac:dyDescent="0.25">
      <c r="A95" s="61" t="s">
        <v>375</v>
      </c>
      <c r="B95" s="275" t="s">
        <v>498</v>
      </c>
      <c r="C95" s="61" t="s">
        <v>203</v>
      </c>
      <c r="D95" s="337">
        <v>10</v>
      </c>
      <c r="E95" s="59">
        <v>20160.642879999996</v>
      </c>
      <c r="F95" s="276">
        <f t="shared" si="6"/>
        <v>201606.42879999997</v>
      </c>
      <c r="G95" s="359"/>
      <c r="H95" s="253">
        <v>11314</v>
      </c>
      <c r="I95" s="277">
        <v>1.4</v>
      </c>
      <c r="J95" s="372"/>
      <c r="K95" s="329">
        <v>15839.599999999999</v>
      </c>
      <c r="L95" s="254">
        <v>1.2727999999999999</v>
      </c>
      <c r="M95" s="440">
        <f t="shared" si="5"/>
        <v>20160.642879999996</v>
      </c>
    </row>
    <row r="96" spans="1:13" ht="17.100000000000001" customHeight="1" x14ac:dyDescent="0.25">
      <c r="A96" s="61" t="s">
        <v>376</v>
      </c>
      <c r="B96" s="275" t="s">
        <v>254</v>
      </c>
      <c r="C96" s="61" t="s">
        <v>203</v>
      </c>
      <c r="D96" s="337">
        <v>35</v>
      </c>
      <c r="E96" s="59">
        <v>4410.2519999999995</v>
      </c>
      <c r="F96" s="276">
        <f t="shared" si="6"/>
        <v>154358.81999999998</v>
      </c>
      <c r="G96" s="359"/>
      <c r="H96" s="253">
        <v>2475</v>
      </c>
      <c r="I96" s="277">
        <v>1.4</v>
      </c>
      <c r="J96" s="372"/>
      <c r="K96" s="329">
        <v>3465</v>
      </c>
      <c r="L96" s="254">
        <v>1.2727999999999999</v>
      </c>
      <c r="M96" s="440">
        <f t="shared" si="5"/>
        <v>4410.2519999999995</v>
      </c>
    </row>
    <row r="97" spans="1:13" ht="17.100000000000001" customHeight="1" x14ac:dyDescent="0.25">
      <c r="A97" s="61" t="s">
        <v>377</v>
      </c>
      <c r="B97" s="275" t="s">
        <v>255</v>
      </c>
      <c r="C97" s="61" t="s">
        <v>203</v>
      </c>
      <c r="D97" s="337">
        <v>1</v>
      </c>
      <c r="E97" s="59">
        <v>34747.439999999995</v>
      </c>
      <c r="F97" s="276">
        <f t="shared" si="6"/>
        <v>34747.439999999995</v>
      </c>
      <c r="G97" s="359"/>
      <c r="H97" s="253">
        <v>19500</v>
      </c>
      <c r="I97" s="277">
        <v>1.4</v>
      </c>
      <c r="J97" s="372"/>
      <c r="K97" s="329">
        <v>27300</v>
      </c>
      <c r="L97" s="254">
        <v>1.2727999999999999</v>
      </c>
      <c r="M97" s="440">
        <f t="shared" si="5"/>
        <v>34747.439999999995</v>
      </c>
    </row>
    <row r="98" spans="1:13" ht="17.100000000000001" customHeight="1" x14ac:dyDescent="0.25">
      <c r="A98" s="61" t="s">
        <v>378</v>
      </c>
      <c r="B98" s="275" t="s">
        <v>256</v>
      </c>
      <c r="C98" s="61" t="s">
        <v>257</v>
      </c>
      <c r="D98" s="337">
        <v>2</v>
      </c>
      <c r="E98" s="59">
        <v>11849.768</v>
      </c>
      <c r="F98" s="276">
        <f t="shared" si="6"/>
        <v>23699.536</v>
      </c>
      <c r="G98" s="359"/>
      <c r="H98" s="253">
        <v>6650</v>
      </c>
      <c r="I98" s="277">
        <v>1.4</v>
      </c>
      <c r="J98" s="372"/>
      <c r="K98" s="329">
        <v>9310</v>
      </c>
      <c r="L98" s="254">
        <v>1.2727999999999999</v>
      </c>
      <c r="M98" s="440">
        <f t="shared" si="5"/>
        <v>11849.768</v>
      </c>
    </row>
    <row r="99" spans="1:13" ht="17.100000000000001" customHeight="1" x14ac:dyDescent="0.25">
      <c r="A99" s="61" t="s">
        <v>379</v>
      </c>
      <c r="B99" s="275" t="s">
        <v>258</v>
      </c>
      <c r="C99" s="61" t="s">
        <v>257</v>
      </c>
      <c r="D99" s="337">
        <v>2</v>
      </c>
      <c r="E99" s="59">
        <v>6165.4431999999997</v>
      </c>
      <c r="F99" s="276">
        <f t="shared" si="6"/>
        <v>12330.886399999999</v>
      </c>
      <c r="G99" s="359"/>
      <c r="H99" s="253">
        <v>3460</v>
      </c>
      <c r="I99" s="277">
        <v>1.4</v>
      </c>
      <c r="J99" s="372"/>
      <c r="K99" s="329">
        <v>4844</v>
      </c>
      <c r="L99" s="254">
        <v>1.2727999999999999</v>
      </c>
      <c r="M99" s="440">
        <f t="shared" si="5"/>
        <v>6165.4431999999997</v>
      </c>
    </row>
    <row r="100" spans="1:13" ht="17.100000000000001" customHeight="1" x14ac:dyDescent="0.25">
      <c r="A100" s="61" t="s">
        <v>380</v>
      </c>
      <c r="B100" s="275" t="s">
        <v>259</v>
      </c>
      <c r="C100" s="61" t="s">
        <v>203</v>
      </c>
      <c r="D100" s="337">
        <v>100</v>
      </c>
      <c r="E100" s="59">
        <v>801.86399999999992</v>
      </c>
      <c r="F100" s="276">
        <f t="shared" si="6"/>
        <v>80186.399999999994</v>
      </c>
      <c r="G100" s="359"/>
      <c r="H100" s="253">
        <v>450</v>
      </c>
      <c r="I100" s="277">
        <v>1.4</v>
      </c>
      <c r="J100" s="372"/>
      <c r="K100" s="329">
        <v>630</v>
      </c>
      <c r="L100" s="254">
        <v>1.2727999999999999</v>
      </c>
      <c r="M100" s="440">
        <f t="shared" si="5"/>
        <v>801.86399999999992</v>
      </c>
    </row>
    <row r="101" spans="1:13" ht="17.100000000000001" customHeight="1" x14ac:dyDescent="0.25">
      <c r="A101" s="61" t="s">
        <v>381</v>
      </c>
      <c r="B101" s="275" t="s">
        <v>499</v>
      </c>
      <c r="C101" s="61" t="s">
        <v>204</v>
      </c>
      <c r="D101" s="337">
        <v>1</v>
      </c>
      <c r="E101" s="59">
        <v>445480</v>
      </c>
      <c r="F101" s="276">
        <f t="shared" si="6"/>
        <v>445480</v>
      </c>
      <c r="G101" s="359"/>
      <c r="H101" s="253">
        <v>250000</v>
      </c>
      <c r="I101" s="277">
        <v>1.4</v>
      </c>
      <c r="J101" s="372"/>
      <c r="K101" s="329">
        <v>350000</v>
      </c>
      <c r="L101" s="254">
        <v>1.2727999999999999</v>
      </c>
      <c r="M101" s="440">
        <f t="shared" si="5"/>
        <v>445480</v>
      </c>
    </row>
    <row r="102" spans="1:13" ht="17.100000000000001" customHeight="1" x14ac:dyDescent="0.25">
      <c r="A102" s="61"/>
      <c r="B102" s="275"/>
      <c r="C102" s="61"/>
      <c r="D102" s="337"/>
      <c r="E102" s="59"/>
      <c r="F102" s="278"/>
      <c r="G102" s="358"/>
      <c r="I102" s="277"/>
      <c r="J102" s="372"/>
      <c r="K102" s="329">
        <v>0</v>
      </c>
      <c r="L102" s="254">
        <v>1.2727999999999999</v>
      </c>
      <c r="M102" s="440">
        <f t="shared" si="5"/>
        <v>0</v>
      </c>
    </row>
    <row r="103" spans="1:13" s="272" customFormat="1" ht="17.100000000000001" customHeight="1" x14ac:dyDescent="0.25">
      <c r="A103" s="267" t="s">
        <v>382</v>
      </c>
      <c r="B103" s="273" t="s">
        <v>500</v>
      </c>
      <c r="C103" s="267"/>
      <c r="D103" s="336"/>
      <c r="E103" s="59"/>
      <c r="F103" s="276"/>
      <c r="G103" s="359"/>
      <c r="H103" s="274"/>
      <c r="I103" s="277"/>
      <c r="J103" s="372"/>
      <c r="K103" s="376">
        <v>0</v>
      </c>
      <c r="L103" s="254">
        <v>1.2727999999999999</v>
      </c>
      <c r="M103" s="440">
        <f t="shared" si="5"/>
        <v>0</v>
      </c>
    </row>
    <row r="104" spans="1:13" s="450" customFormat="1" ht="17.100000000000001" customHeight="1" x14ac:dyDescent="0.25">
      <c r="A104" s="242" t="s">
        <v>289</v>
      </c>
      <c r="B104" s="445" t="s">
        <v>577</v>
      </c>
      <c r="C104" s="242" t="s">
        <v>205</v>
      </c>
      <c r="D104" s="439">
        <v>8000</v>
      </c>
      <c r="E104" s="226">
        <f>M104</f>
        <v>19645.667999999998</v>
      </c>
      <c r="F104" s="446">
        <f>+E104*D104</f>
        <v>157165343.99999997</v>
      </c>
      <c r="G104" s="447"/>
      <c r="H104" s="448">
        <v>11025</v>
      </c>
      <c r="I104" s="449">
        <v>1.4</v>
      </c>
      <c r="J104" s="449"/>
      <c r="K104" s="448">
        <f>H104*I104</f>
        <v>15434.999999999998</v>
      </c>
      <c r="L104" s="450">
        <v>1.2727999999999999</v>
      </c>
      <c r="M104" s="451">
        <f t="shared" si="5"/>
        <v>19645.667999999998</v>
      </c>
    </row>
    <row r="105" spans="1:13" ht="17.100000000000001" customHeight="1" x14ac:dyDescent="0.25">
      <c r="A105" s="61" t="s">
        <v>384</v>
      </c>
      <c r="B105" s="275" t="s">
        <v>292</v>
      </c>
      <c r="C105" s="61" t="s">
        <v>205</v>
      </c>
      <c r="D105" s="338">
        <v>8000</v>
      </c>
      <c r="E105" s="59">
        <v>4410.2519999999995</v>
      </c>
      <c r="F105" s="353">
        <f t="shared" si="6"/>
        <v>35282015.999999993</v>
      </c>
      <c r="G105" s="359"/>
      <c r="H105" s="253">
        <v>2475</v>
      </c>
      <c r="I105" s="277">
        <v>1.4</v>
      </c>
      <c r="J105" s="372"/>
      <c r="K105" s="253">
        <v>3465</v>
      </c>
      <c r="L105" s="254">
        <v>1.2727999999999999</v>
      </c>
      <c r="M105" s="440">
        <f t="shared" si="5"/>
        <v>4410.2519999999995</v>
      </c>
    </row>
    <row r="106" spans="1:13" ht="17.100000000000001" customHeight="1" x14ac:dyDescent="0.25">
      <c r="A106" s="61" t="s">
        <v>385</v>
      </c>
      <c r="B106" s="275" t="s">
        <v>294</v>
      </c>
      <c r="C106" s="61" t="s">
        <v>205</v>
      </c>
      <c r="D106" s="337">
        <v>2000</v>
      </c>
      <c r="E106" s="59">
        <v>1719.5527999999999</v>
      </c>
      <c r="F106" s="276">
        <f t="shared" si="6"/>
        <v>3439105.6</v>
      </c>
      <c r="G106" s="359"/>
      <c r="H106" s="253">
        <v>965</v>
      </c>
      <c r="I106" s="277">
        <v>1.4</v>
      </c>
      <c r="J106" s="372"/>
      <c r="K106" s="329">
        <v>1351</v>
      </c>
      <c r="L106" s="254">
        <v>1.2727999999999999</v>
      </c>
      <c r="M106" s="440">
        <f t="shared" si="5"/>
        <v>1719.5527999999999</v>
      </c>
    </row>
    <row r="107" spans="1:13" ht="17.100000000000001" customHeight="1" x14ac:dyDescent="0.25">
      <c r="A107" s="61" t="s">
        <v>386</v>
      </c>
      <c r="B107" s="275" t="s">
        <v>296</v>
      </c>
      <c r="C107" s="61" t="s">
        <v>203</v>
      </c>
      <c r="D107" s="337">
        <v>700</v>
      </c>
      <c r="E107" s="59">
        <v>4632.9919999999993</v>
      </c>
      <c r="F107" s="276">
        <f t="shared" si="6"/>
        <v>3243094.3999999994</v>
      </c>
      <c r="G107" s="359"/>
      <c r="H107" s="253">
        <v>2600</v>
      </c>
      <c r="I107" s="277">
        <v>1.4</v>
      </c>
      <c r="J107" s="372"/>
      <c r="K107" s="329">
        <v>3639.9999999999995</v>
      </c>
      <c r="L107" s="254">
        <v>1.2727999999999999</v>
      </c>
      <c r="M107" s="440">
        <f t="shared" si="5"/>
        <v>4632.9919999999993</v>
      </c>
    </row>
    <row r="108" spans="1:13" ht="17.100000000000001" customHeight="1" x14ac:dyDescent="0.25">
      <c r="A108" s="61" t="s">
        <v>387</v>
      </c>
      <c r="B108" s="275" t="s">
        <v>298</v>
      </c>
      <c r="C108" s="61" t="s">
        <v>203</v>
      </c>
      <c r="D108" s="337">
        <v>700</v>
      </c>
      <c r="E108" s="59">
        <v>7243.5047999999997</v>
      </c>
      <c r="F108" s="276">
        <f t="shared" si="6"/>
        <v>5070453.3599999994</v>
      </c>
      <c r="G108" s="359"/>
      <c r="H108" s="253">
        <v>4065</v>
      </c>
      <c r="I108" s="277">
        <v>1.4</v>
      </c>
      <c r="J108" s="372"/>
      <c r="K108" s="329">
        <v>5691</v>
      </c>
      <c r="L108" s="254">
        <v>1.2727999999999999</v>
      </c>
      <c r="M108" s="440">
        <f t="shared" si="5"/>
        <v>7243.5047999999997</v>
      </c>
    </row>
    <row r="109" spans="1:13" ht="17.100000000000001" customHeight="1" x14ac:dyDescent="0.25">
      <c r="A109" s="61" t="s">
        <v>388</v>
      </c>
      <c r="B109" s="275" t="s">
        <v>218</v>
      </c>
      <c r="C109" s="61" t="s">
        <v>205</v>
      </c>
      <c r="D109" s="337">
        <v>16000</v>
      </c>
      <c r="E109" s="59">
        <v>2672.8799999999997</v>
      </c>
      <c r="F109" s="276">
        <f t="shared" si="6"/>
        <v>42766079.999999993</v>
      </c>
      <c r="G109" s="359"/>
      <c r="H109" s="253">
        <v>1500</v>
      </c>
      <c r="I109" s="277">
        <v>1.4</v>
      </c>
      <c r="J109" s="372"/>
      <c r="K109" s="329">
        <v>2100</v>
      </c>
      <c r="L109" s="254">
        <v>1.2727999999999999</v>
      </c>
      <c r="M109" s="440">
        <f t="shared" si="5"/>
        <v>2672.8799999999997</v>
      </c>
    </row>
    <row r="110" spans="1:13" ht="17.100000000000001" customHeight="1" x14ac:dyDescent="0.25">
      <c r="A110" s="390"/>
      <c r="B110" s="391"/>
      <c r="C110" s="390"/>
      <c r="D110" s="392"/>
      <c r="E110" s="393"/>
      <c r="F110" s="436"/>
      <c r="G110" s="359"/>
      <c r="I110" s="277"/>
      <c r="J110" s="372"/>
    </row>
    <row r="111" spans="1:13" ht="17.100000000000001" customHeight="1" x14ac:dyDescent="0.25">
      <c r="A111" s="433"/>
      <c r="B111" s="434"/>
      <c r="C111" s="433"/>
      <c r="D111" s="384"/>
      <c r="E111" s="385"/>
      <c r="F111" s="357"/>
      <c r="G111" s="359"/>
      <c r="I111" s="277"/>
      <c r="J111" s="372"/>
    </row>
    <row r="112" spans="1:13" ht="17.100000000000001" customHeight="1" x14ac:dyDescent="0.25">
      <c r="A112" s="433"/>
      <c r="B112" s="434"/>
      <c r="C112" s="433"/>
      <c r="D112" s="384"/>
      <c r="E112" s="385"/>
      <c r="F112" s="357"/>
      <c r="G112" s="359"/>
      <c r="I112" s="277"/>
      <c r="J112" s="372"/>
    </row>
    <row r="113" spans="1:15" ht="17.100000000000001" customHeight="1" x14ac:dyDescent="0.25">
      <c r="A113" s="433"/>
      <c r="B113" s="434"/>
      <c r="C113" s="433"/>
      <c r="D113" s="384"/>
      <c r="E113" s="385"/>
      <c r="F113" s="357"/>
      <c r="G113" s="359"/>
      <c r="I113" s="277"/>
      <c r="J113" s="372"/>
    </row>
    <row r="114" spans="1:15" ht="17.100000000000001" customHeight="1" x14ac:dyDescent="0.25">
      <c r="A114" s="437" t="s">
        <v>569</v>
      </c>
      <c r="B114" s="434"/>
      <c r="C114" s="433"/>
      <c r="D114" s="384"/>
      <c r="E114" s="385"/>
      <c r="F114" s="357"/>
      <c r="G114" s="359"/>
      <c r="I114" s="277"/>
      <c r="J114" s="372"/>
    </row>
    <row r="115" spans="1:15" ht="17.100000000000001" customHeight="1" x14ac:dyDescent="0.25">
      <c r="A115" s="386"/>
      <c r="B115" s="387"/>
      <c r="C115" s="386"/>
      <c r="D115" s="388"/>
      <c r="E115" s="389"/>
      <c r="F115" s="435"/>
      <c r="G115" s="359"/>
      <c r="I115" s="277"/>
      <c r="J115" s="372"/>
    </row>
    <row r="116" spans="1:15" ht="17.100000000000001" customHeight="1" x14ac:dyDescent="0.25">
      <c r="A116" s="61" t="s">
        <v>389</v>
      </c>
      <c r="B116" s="275" t="s">
        <v>202</v>
      </c>
      <c r="C116" s="61" t="s">
        <v>205</v>
      </c>
      <c r="D116" s="337">
        <v>8000</v>
      </c>
      <c r="E116" s="59">
        <v>258.3784</v>
      </c>
      <c r="F116" s="276">
        <f t="shared" si="6"/>
        <v>2067027.2</v>
      </c>
      <c r="G116" s="359"/>
      <c r="H116" s="253">
        <v>145</v>
      </c>
      <c r="I116" s="277">
        <v>1.4</v>
      </c>
      <c r="J116" s="372"/>
      <c r="K116" s="329">
        <v>203</v>
      </c>
      <c r="L116" s="254">
        <v>1.2727999999999999</v>
      </c>
      <c r="M116" s="440">
        <f t="shared" si="5"/>
        <v>258.3784</v>
      </c>
    </row>
    <row r="117" spans="1:15" ht="17.100000000000001" customHeight="1" x14ac:dyDescent="0.25">
      <c r="A117" s="61" t="s">
        <v>390</v>
      </c>
      <c r="B117" s="275" t="s">
        <v>484</v>
      </c>
      <c r="C117" s="61" t="s">
        <v>203</v>
      </c>
      <c r="D117" s="337">
        <v>128</v>
      </c>
      <c r="E117" s="59">
        <v>15146.32</v>
      </c>
      <c r="F117" s="276">
        <f t="shared" si="6"/>
        <v>1938728.96</v>
      </c>
      <c r="G117" s="359"/>
      <c r="H117" s="253">
        <v>8500</v>
      </c>
      <c r="I117" s="277">
        <v>1.4</v>
      </c>
      <c r="J117" s="372"/>
      <c r="K117" s="329">
        <v>11900</v>
      </c>
      <c r="L117" s="254">
        <v>1.2727999999999999</v>
      </c>
      <c r="M117" s="440">
        <f t="shared" si="5"/>
        <v>15146.32</v>
      </c>
    </row>
    <row r="118" spans="1:15" ht="17.100000000000001" customHeight="1" x14ac:dyDescent="0.25">
      <c r="A118" s="61" t="s">
        <v>391</v>
      </c>
      <c r="B118" s="275" t="s">
        <v>485</v>
      </c>
      <c r="C118" s="61" t="s">
        <v>203</v>
      </c>
      <c r="D118" s="337">
        <v>128</v>
      </c>
      <c r="E118" s="59">
        <v>5078.4719999999988</v>
      </c>
      <c r="F118" s="276">
        <f t="shared" si="6"/>
        <v>650044.41599999985</v>
      </c>
      <c r="G118" s="359"/>
      <c r="H118" s="253">
        <v>2850</v>
      </c>
      <c r="I118" s="277">
        <v>1.4</v>
      </c>
      <c r="J118" s="372"/>
      <c r="K118" s="329">
        <v>3989.9999999999995</v>
      </c>
      <c r="L118" s="254">
        <v>1.2727999999999999</v>
      </c>
      <c r="M118" s="440">
        <f t="shared" si="5"/>
        <v>5078.4719999999988</v>
      </c>
    </row>
    <row r="119" spans="1:15" ht="17.100000000000001" customHeight="1" x14ac:dyDescent="0.25">
      <c r="A119" s="61" t="s">
        <v>392</v>
      </c>
      <c r="B119" s="275" t="s">
        <v>486</v>
      </c>
      <c r="C119" s="61" t="s">
        <v>203</v>
      </c>
      <c r="D119" s="337">
        <v>128</v>
      </c>
      <c r="E119" s="59">
        <v>26728.799999999999</v>
      </c>
      <c r="F119" s="278">
        <f t="shared" ref="F119:F124" si="7">+D119*E119</f>
        <v>3421286.3999999999</v>
      </c>
      <c r="G119" s="358"/>
      <c r="H119" s="253">
        <v>15000</v>
      </c>
      <c r="I119" s="277">
        <v>1.4</v>
      </c>
      <c r="J119" s="372"/>
      <c r="K119" s="329">
        <v>21000</v>
      </c>
      <c r="L119" s="254">
        <v>1.2727999999999999</v>
      </c>
      <c r="M119" s="440">
        <f t="shared" si="5"/>
        <v>26728.799999999999</v>
      </c>
    </row>
    <row r="120" spans="1:15" ht="17.100000000000001" customHeight="1" x14ac:dyDescent="0.25">
      <c r="A120" s="61" t="s">
        <v>393</v>
      </c>
      <c r="B120" s="275" t="s">
        <v>222</v>
      </c>
      <c r="C120" s="61" t="s">
        <v>205</v>
      </c>
      <c r="D120" s="337">
        <v>2500</v>
      </c>
      <c r="E120" s="59">
        <v>22274</v>
      </c>
      <c r="F120" s="278">
        <f t="shared" si="7"/>
        <v>55685000</v>
      </c>
      <c r="G120" s="358"/>
      <c r="H120" s="253">
        <v>12500</v>
      </c>
      <c r="I120" s="277">
        <v>1.4</v>
      </c>
      <c r="J120" s="372"/>
      <c r="K120" s="329">
        <v>17500</v>
      </c>
      <c r="L120" s="254">
        <v>1.2727999999999999</v>
      </c>
      <c r="M120" s="440">
        <f t="shared" si="5"/>
        <v>22274</v>
      </c>
    </row>
    <row r="121" spans="1:15" ht="17.100000000000001" customHeight="1" x14ac:dyDescent="0.25">
      <c r="A121" s="61" t="s">
        <v>394</v>
      </c>
      <c r="B121" s="275" t="s">
        <v>223</v>
      </c>
      <c r="C121" s="61" t="s">
        <v>205</v>
      </c>
      <c r="D121" s="337">
        <v>5000</v>
      </c>
      <c r="E121" s="59">
        <v>4454.8</v>
      </c>
      <c r="F121" s="278">
        <f t="shared" si="7"/>
        <v>22274000</v>
      </c>
      <c r="G121" s="358"/>
      <c r="H121" s="253">
        <v>1500</v>
      </c>
      <c r="I121" s="277">
        <v>1.4</v>
      </c>
      <c r="J121" s="372"/>
      <c r="K121" s="329">
        <v>3500</v>
      </c>
      <c r="L121" s="254">
        <v>1.2727999999999999</v>
      </c>
      <c r="M121" s="440">
        <f t="shared" si="5"/>
        <v>4454.8</v>
      </c>
    </row>
    <row r="122" spans="1:15" ht="17.100000000000001" customHeight="1" x14ac:dyDescent="0.25">
      <c r="A122" s="61" t="s">
        <v>395</v>
      </c>
      <c r="B122" s="275" t="s">
        <v>275</v>
      </c>
      <c r="C122" s="61" t="s">
        <v>205</v>
      </c>
      <c r="D122" s="337">
        <v>100</v>
      </c>
      <c r="E122" s="59">
        <v>35638.400000000001</v>
      </c>
      <c r="F122" s="278">
        <f t="shared" si="7"/>
        <v>3563840</v>
      </c>
      <c r="G122" s="358"/>
      <c r="H122" s="253">
        <v>20000</v>
      </c>
      <c r="I122" s="277">
        <v>1.4</v>
      </c>
      <c r="J122" s="372"/>
      <c r="K122" s="329">
        <v>28000</v>
      </c>
      <c r="L122" s="254">
        <v>1.2727999999999999</v>
      </c>
      <c r="M122" s="440">
        <f t="shared" si="5"/>
        <v>35638.400000000001</v>
      </c>
    </row>
    <row r="123" spans="1:15" ht="17.100000000000001" customHeight="1" x14ac:dyDescent="0.25">
      <c r="A123" s="61" t="s">
        <v>396</v>
      </c>
      <c r="B123" s="275" t="s">
        <v>276</v>
      </c>
      <c r="C123" s="61" t="s">
        <v>205</v>
      </c>
      <c r="D123" s="337">
        <v>200</v>
      </c>
      <c r="E123" s="59">
        <v>26728.799999999999</v>
      </c>
      <c r="F123" s="278">
        <f t="shared" si="7"/>
        <v>5345760</v>
      </c>
      <c r="G123" s="358"/>
      <c r="H123" s="253">
        <v>15000</v>
      </c>
      <c r="I123" s="277">
        <v>1.4</v>
      </c>
      <c r="J123" s="372"/>
      <c r="K123" s="329">
        <v>21000</v>
      </c>
      <c r="L123" s="254">
        <v>1.2727999999999999</v>
      </c>
      <c r="M123" s="440">
        <f t="shared" si="5"/>
        <v>26728.799999999999</v>
      </c>
    </row>
    <row r="124" spans="1:15" ht="17.100000000000001" customHeight="1" x14ac:dyDescent="0.25">
      <c r="A124" s="61" t="s">
        <v>397</v>
      </c>
      <c r="B124" s="275" t="s">
        <v>311</v>
      </c>
      <c r="C124" s="61" t="s">
        <v>203</v>
      </c>
      <c r="D124" s="337">
        <v>128</v>
      </c>
      <c r="E124" s="59">
        <v>44548</v>
      </c>
      <c r="F124" s="278">
        <f t="shared" si="7"/>
        <v>5702144</v>
      </c>
      <c r="G124" s="358"/>
      <c r="H124" s="253">
        <v>25000</v>
      </c>
      <c r="I124" s="277">
        <v>1.4</v>
      </c>
      <c r="J124" s="372"/>
      <c r="K124" s="329">
        <v>35000</v>
      </c>
      <c r="L124" s="254">
        <v>1.2727999999999999</v>
      </c>
      <c r="M124" s="440">
        <f t="shared" si="5"/>
        <v>44548</v>
      </c>
    </row>
    <row r="125" spans="1:15" s="272" customFormat="1" ht="17.100000000000001" customHeight="1" x14ac:dyDescent="0.25">
      <c r="A125" s="267" t="s">
        <v>398</v>
      </c>
      <c r="B125" s="273" t="s">
        <v>501</v>
      </c>
      <c r="C125" s="267"/>
      <c r="D125" s="336"/>
      <c r="E125" s="59"/>
      <c r="F125" s="276"/>
      <c r="G125" s="359"/>
      <c r="H125" s="274"/>
      <c r="I125" s="277"/>
      <c r="J125" s="372"/>
      <c r="K125" s="376">
        <v>0</v>
      </c>
      <c r="L125" s="254">
        <v>1.2727999999999999</v>
      </c>
      <c r="M125" s="440">
        <f t="shared" si="5"/>
        <v>0</v>
      </c>
    </row>
    <row r="126" spans="1:15" s="450" customFormat="1" ht="16.5" customHeight="1" x14ac:dyDescent="0.25">
      <c r="A126" s="242" t="s">
        <v>289</v>
      </c>
      <c r="B126" s="445" t="s">
        <v>577</v>
      </c>
      <c r="C126" s="242" t="s">
        <v>205</v>
      </c>
      <c r="D126" s="439">
        <v>9000</v>
      </c>
      <c r="E126" s="226">
        <f>M126</f>
        <v>19645.667999999998</v>
      </c>
      <c r="F126" s="446">
        <f>+E126*D126</f>
        <v>176811011.99999997</v>
      </c>
      <c r="G126" s="447"/>
      <c r="H126" s="448">
        <v>11025</v>
      </c>
      <c r="I126" s="449">
        <v>1.4</v>
      </c>
      <c r="J126" s="449"/>
      <c r="K126" s="448">
        <f>H126*I126</f>
        <v>15434.999999999998</v>
      </c>
      <c r="L126" s="450">
        <v>1.2727999999999999</v>
      </c>
      <c r="M126" s="451">
        <f t="shared" si="5"/>
        <v>19645.667999999998</v>
      </c>
      <c r="N126" s="452"/>
      <c r="O126" s="452"/>
    </row>
    <row r="127" spans="1:15" ht="17.100000000000001" customHeight="1" x14ac:dyDescent="0.25">
      <c r="A127" s="61" t="s">
        <v>400</v>
      </c>
      <c r="B127" s="275" t="s">
        <v>292</v>
      </c>
      <c r="C127" s="61" t="s">
        <v>205</v>
      </c>
      <c r="D127" s="338">
        <v>9000</v>
      </c>
      <c r="E127" s="59">
        <v>4410.2519999999995</v>
      </c>
      <c r="F127" s="353">
        <f t="shared" si="6"/>
        <v>39692267.999999993</v>
      </c>
      <c r="G127" s="359"/>
      <c r="H127" s="253">
        <v>2475</v>
      </c>
      <c r="I127" s="277">
        <v>1.4</v>
      </c>
      <c r="J127" s="372"/>
      <c r="K127" s="253">
        <v>3465</v>
      </c>
      <c r="L127" s="254">
        <v>1.2727999999999999</v>
      </c>
      <c r="M127" s="440">
        <f t="shared" si="5"/>
        <v>4410.2519999999995</v>
      </c>
    </row>
    <row r="128" spans="1:15" ht="17.100000000000001" customHeight="1" x14ac:dyDescent="0.25">
      <c r="A128" s="61" t="s">
        <v>401</v>
      </c>
      <c r="B128" s="275" t="s">
        <v>294</v>
      </c>
      <c r="C128" s="61" t="s">
        <v>205</v>
      </c>
      <c r="D128" s="337">
        <v>1500</v>
      </c>
      <c r="E128" s="59">
        <v>1719.5527999999999</v>
      </c>
      <c r="F128" s="276">
        <f t="shared" si="6"/>
        <v>2579329.1999999997</v>
      </c>
      <c r="G128" s="359"/>
      <c r="H128" s="253">
        <v>965</v>
      </c>
      <c r="I128" s="277">
        <v>1.4</v>
      </c>
      <c r="J128" s="372"/>
      <c r="K128" s="329">
        <v>1351</v>
      </c>
      <c r="L128" s="254">
        <v>1.2727999999999999</v>
      </c>
      <c r="M128" s="440">
        <f t="shared" si="5"/>
        <v>1719.5527999999999</v>
      </c>
    </row>
    <row r="129" spans="1:13" ht="17.100000000000001" customHeight="1" x14ac:dyDescent="0.25">
      <c r="A129" s="61" t="s">
        <v>402</v>
      </c>
      <c r="B129" s="275" t="s">
        <v>216</v>
      </c>
      <c r="C129" s="61" t="s">
        <v>203</v>
      </c>
      <c r="D129" s="337">
        <v>625</v>
      </c>
      <c r="E129" s="59">
        <v>4632.9919999999993</v>
      </c>
      <c r="F129" s="276">
        <f t="shared" si="6"/>
        <v>2895619.9999999995</v>
      </c>
      <c r="G129" s="359"/>
      <c r="H129" s="253">
        <v>2600</v>
      </c>
      <c r="I129" s="277">
        <v>1.4</v>
      </c>
      <c r="J129" s="372"/>
      <c r="K129" s="329">
        <v>3639.9999999999995</v>
      </c>
      <c r="L129" s="254">
        <v>1.2727999999999999</v>
      </c>
      <c r="M129" s="440">
        <f t="shared" si="5"/>
        <v>4632.9919999999993</v>
      </c>
    </row>
    <row r="130" spans="1:13" ht="17.100000000000001" customHeight="1" x14ac:dyDescent="0.25">
      <c r="A130" s="61" t="s">
        <v>403</v>
      </c>
      <c r="B130" s="275" t="s">
        <v>298</v>
      </c>
      <c r="C130" s="61" t="s">
        <v>203</v>
      </c>
      <c r="D130" s="337">
        <v>625</v>
      </c>
      <c r="E130" s="59">
        <v>7243.5047999999997</v>
      </c>
      <c r="F130" s="276">
        <f t="shared" si="6"/>
        <v>4527190.5</v>
      </c>
      <c r="G130" s="359"/>
      <c r="H130" s="253">
        <v>4065</v>
      </c>
      <c r="I130" s="277">
        <v>1.4</v>
      </c>
      <c r="J130" s="372"/>
      <c r="K130" s="329">
        <v>5691</v>
      </c>
      <c r="L130" s="254">
        <v>1.2727999999999999</v>
      </c>
      <c r="M130" s="440">
        <f t="shared" si="5"/>
        <v>7243.5047999999997</v>
      </c>
    </row>
    <row r="131" spans="1:13" ht="17.100000000000001" customHeight="1" x14ac:dyDescent="0.25">
      <c r="A131" s="61" t="s">
        <v>404</v>
      </c>
      <c r="B131" s="275" t="s">
        <v>218</v>
      </c>
      <c r="C131" s="61" t="s">
        <v>205</v>
      </c>
      <c r="D131" s="337">
        <v>18000</v>
      </c>
      <c r="E131" s="59">
        <v>2672.8799999999997</v>
      </c>
      <c r="F131" s="276">
        <f t="shared" si="6"/>
        <v>48111839.999999993</v>
      </c>
      <c r="G131" s="359"/>
      <c r="H131" s="253">
        <v>1500</v>
      </c>
      <c r="I131" s="277">
        <v>1.4</v>
      </c>
      <c r="J131" s="372"/>
      <c r="K131" s="329">
        <v>2100</v>
      </c>
      <c r="L131" s="254">
        <v>1.2727999999999999</v>
      </c>
      <c r="M131" s="440">
        <f t="shared" si="5"/>
        <v>2672.8799999999997</v>
      </c>
    </row>
    <row r="132" spans="1:13" ht="17.100000000000001" customHeight="1" x14ac:dyDescent="0.25">
      <c r="A132" s="61" t="s">
        <v>405</v>
      </c>
      <c r="B132" s="275" t="s">
        <v>202</v>
      </c>
      <c r="C132" s="61" t="s">
        <v>205</v>
      </c>
      <c r="D132" s="337">
        <v>9000</v>
      </c>
      <c r="E132" s="59">
        <v>258.3784</v>
      </c>
      <c r="F132" s="276">
        <f t="shared" si="6"/>
        <v>2325405.6</v>
      </c>
      <c r="G132" s="359"/>
      <c r="H132" s="253">
        <v>145</v>
      </c>
      <c r="I132" s="277">
        <v>1.4</v>
      </c>
      <c r="J132" s="372"/>
      <c r="K132" s="329">
        <v>203</v>
      </c>
      <c r="L132" s="254">
        <v>1.2727999999999999</v>
      </c>
      <c r="M132" s="440">
        <f t="shared" si="5"/>
        <v>258.3784</v>
      </c>
    </row>
    <row r="133" spans="1:13" ht="17.100000000000001" customHeight="1" x14ac:dyDescent="0.25">
      <c r="A133" s="61" t="s">
        <v>406</v>
      </c>
      <c r="B133" s="275" t="s">
        <v>490</v>
      </c>
      <c r="C133" s="61" t="s">
        <v>203</v>
      </c>
      <c r="D133" s="337">
        <v>117</v>
      </c>
      <c r="E133" s="59">
        <v>15146.32</v>
      </c>
      <c r="F133" s="276">
        <f t="shared" si="6"/>
        <v>1772119.44</v>
      </c>
      <c r="G133" s="359"/>
      <c r="H133" s="253">
        <v>8500</v>
      </c>
      <c r="I133" s="277">
        <v>1.4</v>
      </c>
      <c r="J133" s="372"/>
      <c r="K133" s="329">
        <v>11900</v>
      </c>
      <c r="L133" s="254">
        <v>1.2727999999999999</v>
      </c>
      <c r="M133" s="440">
        <f t="shared" si="5"/>
        <v>15146.32</v>
      </c>
    </row>
    <row r="134" spans="1:13" ht="17.100000000000001" customHeight="1" x14ac:dyDescent="0.25">
      <c r="A134" s="61" t="s">
        <v>407</v>
      </c>
      <c r="B134" s="275" t="s">
        <v>485</v>
      </c>
      <c r="C134" s="61" t="s">
        <v>203</v>
      </c>
      <c r="D134" s="337">
        <v>117</v>
      </c>
      <c r="E134" s="59">
        <v>5078.4719999999988</v>
      </c>
      <c r="F134" s="276">
        <f t="shared" si="6"/>
        <v>594181.22399999981</v>
      </c>
      <c r="G134" s="359"/>
      <c r="H134" s="253">
        <v>2850</v>
      </c>
      <c r="I134" s="277">
        <v>1.4</v>
      </c>
      <c r="J134" s="372"/>
      <c r="K134" s="329">
        <v>3989.9999999999995</v>
      </c>
      <c r="L134" s="254">
        <v>1.2727999999999999</v>
      </c>
      <c r="M134" s="440">
        <f t="shared" si="5"/>
        <v>5078.4719999999988</v>
      </c>
    </row>
    <row r="135" spans="1:13" ht="17.100000000000001" customHeight="1" x14ac:dyDescent="0.25">
      <c r="A135" s="61" t="s">
        <v>408</v>
      </c>
      <c r="B135" s="275" t="s">
        <v>486</v>
      </c>
      <c r="C135" s="61" t="s">
        <v>203</v>
      </c>
      <c r="D135" s="337">
        <v>117</v>
      </c>
      <c r="E135" s="59">
        <v>26728.799999999999</v>
      </c>
      <c r="F135" s="278">
        <f t="shared" ref="F135:F146" si="8">+D135*E135</f>
        <v>3127269.6</v>
      </c>
      <c r="G135" s="358"/>
      <c r="H135" s="253">
        <v>15000</v>
      </c>
      <c r="I135" s="277">
        <v>1.4</v>
      </c>
      <c r="J135" s="372"/>
      <c r="K135" s="329">
        <v>21000</v>
      </c>
      <c r="L135" s="254">
        <v>1.2727999999999999</v>
      </c>
      <c r="M135" s="440">
        <f t="shared" si="5"/>
        <v>26728.799999999999</v>
      </c>
    </row>
    <row r="136" spans="1:13" ht="17.100000000000001" customHeight="1" x14ac:dyDescent="0.25">
      <c r="A136" s="61" t="s">
        <v>409</v>
      </c>
      <c r="B136" s="275" t="s">
        <v>222</v>
      </c>
      <c r="C136" s="61" t="s">
        <v>205</v>
      </c>
      <c r="D136" s="337">
        <v>1500</v>
      </c>
      <c r="E136" s="59">
        <v>22274</v>
      </c>
      <c r="F136" s="278">
        <f t="shared" si="8"/>
        <v>33411000</v>
      </c>
      <c r="G136" s="358"/>
      <c r="H136" s="253">
        <v>12500</v>
      </c>
      <c r="I136" s="277">
        <v>1.4</v>
      </c>
      <c r="J136" s="372"/>
      <c r="K136" s="329">
        <v>17500</v>
      </c>
      <c r="L136" s="254">
        <v>1.2727999999999999</v>
      </c>
      <c r="M136" s="440">
        <f t="shared" si="5"/>
        <v>22274</v>
      </c>
    </row>
    <row r="137" spans="1:13" ht="17.100000000000001" customHeight="1" x14ac:dyDescent="0.25">
      <c r="A137" s="61" t="s">
        <v>410</v>
      </c>
      <c r="B137" s="275" t="s">
        <v>223</v>
      </c>
      <c r="C137" s="61" t="s">
        <v>205</v>
      </c>
      <c r="D137" s="337">
        <v>6000</v>
      </c>
      <c r="E137" s="59">
        <v>2672.8799999999997</v>
      </c>
      <c r="F137" s="278">
        <f t="shared" si="8"/>
        <v>16037279.999999998</v>
      </c>
      <c r="G137" s="358"/>
      <c r="H137" s="253">
        <v>1500</v>
      </c>
      <c r="I137" s="277">
        <v>1.4</v>
      </c>
      <c r="J137" s="372"/>
      <c r="K137" s="329">
        <v>2100</v>
      </c>
      <c r="L137" s="254">
        <v>1.2727999999999999</v>
      </c>
      <c r="M137" s="440">
        <f t="shared" si="5"/>
        <v>2672.8799999999997</v>
      </c>
    </row>
    <row r="138" spans="1:13" ht="17.100000000000001" customHeight="1" x14ac:dyDescent="0.25">
      <c r="A138" s="61" t="s">
        <v>411</v>
      </c>
      <c r="B138" s="275" t="s">
        <v>311</v>
      </c>
      <c r="C138" s="61" t="s">
        <v>203</v>
      </c>
      <c r="D138" s="337">
        <v>117</v>
      </c>
      <c r="E138" s="59">
        <v>44548</v>
      </c>
      <c r="F138" s="278">
        <f t="shared" si="8"/>
        <v>5212116</v>
      </c>
      <c r="G138" s="358"/>
      <c r="H138" s="253">
        <v>25000</v>
      </c>
      <c r="I138" s="277">
        <v>1.4</v>
      </c>
      <c r="J138" s="372"/>
      <c r="K138" s="329">
        <v>35000</v>
      </c>
      <c r="L138" s="254">
        <v>1.2727999999999999</v>
      </c>
      <c r="M138" s="440">
        <f t="shared" si="5"/>
        <v>44548</v>
      </c>
    </row>
    <row r="139" spans="1:13" ht="17.100000000000001" customHeight="1" x14ac:dyDescent="0.25">
      <c r="A139" s="61" t="s">
        <v>412</v>
      </c>
      <c r="B139" s="275" t="s">
        <v>269</v>
      </c>
      <c r="C139" s="61" t="s">
        <v>204</v>
      </c>
      <c r="D139" s="337">
        <v>4</v>
      </c>
      <c r="E139" s="59">
        <v>2545600</v>
      </c>
      <c r="F139" s="278">
        <f t="shared" si="8"/>
        <v>10182400</v>
      </c>
      <c r="G139" s="358"/>
      <c r="H139" s="253">
        <v>350000</v>
      </c>
      <c r="I139" s="277">
        <v>1.4</v>
      </c>
      <c r="J139" s="372"/>
      <c r="K139" s="329">
        <v>2000000</v>
      </c>
      <c r="L139" s="254">
        <v>1.2727999999999999</v>
      </c>
      <c r="M139" s="440">
        <f t="shared" si="5"/>
        <v>2545600</v>
      </c>
    </row>
    <row r="140" spans="1:13" ht="17.100000000000001" customHeight="1" x14ac:dyDescent="0.25">
      <c r="A140" s="61" t="s">
        <v>413</v>
      </c>
      <c r="B140" s="275" t="s">
        <v>276</v>
      </c>
      <c r="C140" s="61" t="s">
        <v>205</v>
      </c>
      <c r="D140" s="337">
        <v>110</v>
      </c>
      <c r="E140" s="59">
        <v>35638.400000000001</v>
      </c>
      <c r="F140" s="278">
        <f t="shared" si="8"/>
        <v>3920224</v>
      </c>
      <c r="G140" s="358"/>
      <c r="H140" s="253">
        <v>20000</v>
      </c>
      <c r="I140" s="277">
        <v>1.4</v>
      </c>
      <c r="J140" s="372"/>
      <c r="K140" s="329">
        <v>28000</v>
      </c>
      <c r="L140" s="254">
        <v>1.2727999999999999</v>
      </c>
      <c r="M140" s="440">
        <f t="shared" si="5"/>
        <v>35638.400000000001</v>
      </c>
    </row>
    <row r="141" spans="1:13" ht="17.100000000000001" customHeight="1" x14ac:dyDescent="0.25">
      <c r="A141" s="61" t="s">
        <v>414</v>
      </c>
      <c r="B141" s="275" t="s">
        <v>275</v>
      </c>
      <c r="C141" s="61" t="s">
        <v>205</v>
      </c>
      <c r="D141" s="337">
        <v>60</v>
      </c>
      <c r="E141" s="59">
        <v>26728.799999999999</v>
      </c>
      <c r="F141" s="278">
        <f t="shared" si="8"/>
        <v>1603728</v>
      </c>
      <c r="G141" s="358"/>
      <c r="H141" s="253">
        <v>15000</v>
      </c>
      <c r="I141" s="277">
        <v>1.4</v>
      </c>
      <c r="J141" s="372"/>
      <c r="K141" s="329">
        <v>21000</v>
      </c>
      <c r="L141" s="254">
        <v>1.2727999999999999</v>
      </c>
      <c r="M141" s="440">
        <f t="shared" si="5"/>
        <v>26728.799999999999</v>
      </c>
    </row>
    <row r="142" spans="1:13" ht="17.100000000000001" customHeight="1" x14ac:dyDescent="0.25">
      <c r="A142" s="61" t="s">
        <v>415</v>
      </c>
      <c r="B142" s="275" t="s">
        <v>270</v>
      </c>
      <c r="C142" s="61" t="s">
        <v>204</v>
      </c>
      <c r="D142" s="337">
        <v>1</v>
      </c>
      <c r="E142" s="59">
        <v>2316496</v>
      </c>
      <c r="F142" s="278">
        <f t="shared" si="8"/>
        <v>2316496</v>
      </c>
      <c r="G142" s="358"/>
      <c r="H142" s="253">
        <v>1300000</v>
      </c>
      <c r="I142" s="277">
        <v>1.4</v>
      </c>
      <c r="J142" s="372"/>
      <c r="K142" s="329">
        <v>1820000</v>
      </c>
      <c r="L142" s="254">
        <v>1.2727999999999999</v>
      </c>
      <c r="M142" s="440">
        <f t="shared" si="5"/>
        <v>2316496</v>
      </c>
    </row>
    <row r="143" spans="1:13" ht="17.100000000000001" customHeight="1" x14ac:dyDescent="0.25">
      <c r="A143" s="61" t="s">
        <v>416</v>
      </c>
      <c r="B143" s="275" t="s">
        <v>271</v>
      </c>
      <c r="C143" s="61" t="s">
        <v>205</v>
      </c>
      <c r="D143" s="337">
        <v>6</v>
      </c>
      <c r="E143" s="59">
        <v>8018.6399999999994</v>
      </c>
      <c r="F143" s="278">
        <f t="shared" si="8"/>
        <v>48111.839999999997</v>
      </c>
      <c r="G143" s="358"/>
      <c r="H143" s="253">
        <v>4500</v>
      </c>
      <c r="I143" s="277">
        <v>1.4</v>
      </c>
      <c r="J143" s="372"/>
      <c r="K143" s="329">
        <v>6300</v>
      </c>
      <c r="L143" s="254">
        <v>1.2727999999999999</v>
      </c>
      <c r="M143" s="440">
        <f t="shared" si="5"/>
        <v>8018.6399999999994</v>
      </c>
    </row>
    <row r="144" spans="1:13" ht="17.100000000000001" customHeight="1" x14ac:dyDescent="0.25">
      <c r="A144" s="61" t="s">
        <v>417</v>
      </c>
      <c r="B144" s="275" t="s">
        <v>502</v>
      </c>
      <c r="C144" s="61" t="s">
        <v>418</v>
      </c>
      <c r="D144" s="337">
        <v>30</v>
      </c>
      <c r="E144" s="59">
        <v>381840</v>
      </c>
      <c r="F144" s="278">
        <f t="shared" si="8"/>
        <v>11455200</v>
      </c>
      <c r="G144" s="358"/>
      <c r="H144" s="253">
        <v>150000</v>
      </c>
      <c r="I144" s="277">
        <v>1.4</v>
      </c>
      <c r="J144" s="372"/>
      <c r="K144" s="329">
        <v>300000</v>
      </c>
      <c r="L144" s="254">
        <v>1.2727999999999999</v>
      </c>
      <c r="M144" s="440">
        <f t="shared" si="5"/>
        <v>381840</v>
      </c>
    </row>
    <row r="145" spans="1:15" ht="17.100000000000001" customHeight="1" x14ac:dyDescent="0.25">
      <c r="A145" s="61" t="s">
        <v>419</v>
      </c>
      <c r="B145" s="275" t="s">
        <v>503</v>
      </c>
      <c r="C145" s="61" t="s">
        <v>418</v>
      </c>
      <c r="D145" s="337">
        <v>30</v>
      </c>
      <c r="E145" s="59">
        <v>534576</v>
      </c>
      <c r="F145" s="278">
        <f t="shared" si="8"/>
        <v>16037280</v>
      </c>
      <c r="G145" s="358"/>
      <c r="H145" s="253">
        <v>300000</v>
      </c>
      <c r="I145" s="277">
        <v>1.4</v>
      </c>
      <c r="J145" s="372"/>
      <c r="K145" s="329">
        <v>420000</v>
      </c>
      <c r="L145" s="254">
        <v>1.2727999999999999</v>
      </c>
      <c r="M145" s="440">
        <f t="shared" si="5"/>
        <v>534576</v>
      </c>
    </row>
    <row r="146" spans="1:15" ht="16.5" customHeight="1" x14ac:dyDescent="0.25">
      <c r="A146" s="61" t="s">
        <v>421</v>
      </c>
      <c r="B146" s="275" t="s">
        <v>504</v>
      </c>
      <c r="C146" s="61" t="s">
        <v>418</v>
      </c>
      <c r="D146" s="337">
        <v>60</v>
      </c>
      <c r="E146" s="59">
        <v>254560</v>
      </c>
      <c r="F146" s="278">
        <f t="shared" si="8"/>
        <v>15273600</v>
      </c>
      <c r="G146" s="358"/>
      <c r="H146" s="253">
        <v>130000</v>
      </c>
      <c r="I146" s="277">
        <v>1.4</v>
      </c>
      <c r="J146" s="372"/>
      <c r="K146" s="329">
        <v>200000</v>
      </c>
      <c r="L146" s="254">
        <v>1.2727999999999999</v>
      </c>
      <c r="M146" s="440">
        <f t="shared" si="5"/>
        <v>254560</v>
      </c>
    </row>
    <row r="147" spans="1:15" ht="17.100000000000001" customHeight="1" x14ac:dyDescent="0.25">
      <c r="A147" s="61"/>
      <c r="B147" s="275"/>
      <c r="C147" s="61"/>
      <c r="D147" s="337"/>
      <c r="E147" s="59"/>
      <c r="F147" s="278"/>
      <c r="G147" s="358"/>
      <c r="I147" s="277"/>
      <c r="J147" s="372"/>
      <c r="L147" s="254">
        <v>1.2727999999999999</v>
      </c>
      <c r="M147" s="440">
        <f t="shared" si="5"/>
        <v>0</v>
      </c>
    </row>
    <row r="148" spans="1:15" s="272" customFormat="1" ht="17.100000000000001" customHeight="1" x14ac:dyDescent="0.25">
      <c r="A148" s="267" t="s">
        <v>423</v>
      </c>
      <c r="B148" s="273" t="s">
        <v>505</v>
      </c>
      <c r="C148" s="267"/>
      <c r="D148" s="336"/>
      <c r="E148" s="59"/>
      <c r="F148" s="276"/>
      <c r="G148" s="359"/>
      <c r="H148" s="274"/>
      <c r="I148" s="277"/>
      <c r="J148" s="372"/>
      <c r="K148" s="376"/>
      <c r="L148" s="254">
        <v>1.2727999999999999</v>
      </c>
      <c r="M148" s="440">
        <f t="shared" si="5"/>
        <v>0</v>
      </c>
    </row>
    <row r="149" spans="1:15" ht="17.100000000000001" customHeight="1" x14ac:dyDescent="0.25">
      <c r="A149" s="61" t="s">
        <v>424</v>
      </c>
      <c r="B149" s="275" t="s">
        <v>292</v>
      </c>
      <c r="C149" s="61" t="s">
        <v>205</v>
      </c>
      <c r="D149" s="439">
        <v>300</v>
      </c>
      <c r="E149" s="59">
        <v>4410.2519999999995</v>
      </c>
      <c r="F149" s="276">
        <f t="shared" si="6"/>
        <v>1323075.5999999999</v>
      </c>
      <c r="G149" s="359">
        <v>500</v>
      </c>
      <c r="H149" s="253">
        <v>2475</v>
      </c>
      <c r="I149" s="277">
        <v>1.4</v>
      </c>
      <c r="J149" s="372"/>
      <c r="K149" s="329">
        <v>3465</v>
      </c>
      <c r="L149" s="254">
        <v>1.2727999999999999</v>
      </c>
      <c r="M149" s="440">
        <f t="shared" si="5"/>
        <v>4410.2519999999995</v>
      </c>
      <c r="O149" s="254">
        <v>1500</v>
      </c>
    </row>
    <row r="150" spans="1:15" ht="17.100000000000001" customHeight="1" x14ac:dyDescent="0.25">
      <c r="A150" s="61" t="s">
        <v>425</v>
      </c>
      <c r="B150" s="275" t="s">
        <v>506</v>
      </c>
      <c r="C150" s="61" t="s">
        <v>205</v>
      </c>
      <c r="D150" s="337">
        <f>9*3</f>
        <v>27</v>
      </c>
      <c r="E150" s="59">
        <v>8767.0463999999993</v>
      </c>
      <c r="F150" s="276">
        <f t="shared" si="6"/>
        <v>236710.25279999999</v>
      </c>
      <c r="G150" s="359">
        <v>9</v>
      </c>
      <c r="H150" s="253">
        <v>4920</v>
      </c>
      <c r="I150" s="277">
        <v>1.4</v>
      </c>
      <c r="J150" s="372"/>
      <c r="K150" s="329">
        <v>6888</v>
      </c>
      <c r="L150" s="254">
        <v>1.2727999999999999</v>
      </c>
      <c r="M150" s="440">
        <f t="shared" si="5"/>
        <v>8767.0463999999993</v>
      </c>
    </row>
    <row r="151" spans="1:15" ht="17.100000000000001" customHeight="1" x14ac:dyDescent="0.25">
      <c r="A151" s="61" t="s">
        <v>426</v>
      </c>
      <c r="B151" s="275" t="s">
        <v>231</v>
      </c>
      <c r="C151" s="61" t="s">
        <v>205</v>
      </c>
      <c r="D151" s="337">
        <v>27</v>
      </c>
      <c r="E151" s="59">
        <v>6236.7199999999993</v>
      </c>
      <c r="F151" s="276">
        <f t="shared" si="6"/>
        <v>168391.43999999997</v>
      </c>
      <c r="G151" s="359">
        <v>9</v>
      </c>
      <c r="H151" s="253">
        <v>3500</v>
      </c>
      <c r="I151" s="277">
        <v>1.4</v>
      </c>
      <c r="J151" s="372"/>
      <c r="K151" s="329">
        <v>4900</v>
      </c>
      <c r="L151" s="254">
        <v>1.2727999999999999</v>
      </c>
      <c r="M151" s="440">
        <f t="shared" si="5"/>
        <v>6236.7199999999993</v>
      </c>
    </row>
    <row r="152" spans="1:15" ht="17.100000000000001" customHeight="1" x14ac:dyDescent="0.25">
      <c r="A152" s="61" t="s">
        <v>427</v>
      </c>
      <c r="B152" s="275" t="s">
        <v>232</v>
      </c>
      <c r="C152" s="61" t="s">
        <v>203</v>
      </c>
      <c r="D152" s="337">
        <v>3</v>
      </c>
      <c r="E152" s="59">
        <v>12389.689759999997</v>
      </c>
      <c r="F152" s="276">
        <f t="shared" si="6"/>
        <v>37169.069279999996</v>
      </c>
      <c r="G152" s="359">
        <v>1</v>
      </c>
      <c r="H152" s="253">
        <v>6953</v>
      </c>
      <c r="I152" s="277">
        <v>1.4</v>
      </c>
      <c r="J152" s="372"/>
      <c r="K152" s="329">
        <v>9734.1999999999989</v>
      </c>
      <c r="L152" s="254">
        <v>1.2727999999999999</v>
      </c>
      <c r="M152" s="440">
        <f t="shared" si="5"/>
        <v>12389.689759999997</v>
      </c>
    </row>
    <row r="153" spans="1:15" ht="17.100000000000001" customHeight="1" x14ac:dyDescent="0.25">
      <c r="A153" s="61" t="s">
        <v>428</v>
      </c>
      <c r="B153" s="275" t="s">
        <v>233</v>
      </c>
      <c r="C153" s="61" t="s">
        <v>203</v>
      </c>
      <c r="D153" s="337">
        <v>3</v>
      </c>
      <c r="E153" s="59">
        <v>12389.689759999997</v>
      </c>
      <c r="F153" s="276">
        <f t="shared" si="6"/>
        <v>37169.069279999996</v>
      </c>
      <c r="G153" s="359">
        <v>1</v>
      </c>
      <c r="H153" s="253">
        <v>6953</v>
      </c>
      <c r="I153" s="277">
        <v>1.4</v>
      </c>
      <c r="J153" s="372"/>
      <c r="K153" s="329">
        <v>9734.1999999999989</v>
      </c>
      <c r="L153" s="254">
        <v>1.2727999999999999</v>
      </c>
      <c r="M153" s="440">
        <f t="shared" si="5"/>
        <v>12389.689759999997</v>
      </c>
    </row>
    <row r="154" spans="1:15" ht="17.100000000000001" customHeight="1" x14ac:dyDescent="0.25">
      <c r="A154" s="61" t="s">
        <v>429</v>
      </c>
      <c r="B154" s="275" t="s">
        <v>234</v>
      </c>
      <c r="C154" s="61" t="s">
        <v>203</v>
      </c>
      <c r="D154" s="337">
        <v>12</v>
      </c>
      <c r="E154" s="59">
        <v>4454.8</v>
      </c>
      <c r="F154" s="276">
        <f t="shared" si="6"/>
        <v>53457.600000000006</v>
      </c>
      <c r="G154" s="359">
        <v>1</v>
      </c>
      <c r="H154" s="253">
        <v>2500</v>
      </c>
      <c r="I154" s="277">
        <v>1.4</v>
      </c>
      <c r="J154" s="372"/>
      <c r="K154" s="329">
        <v>3500</v>
      </c>
      <c r="L154" s="254">
        <v>1.2727999999999999</v>
      </c>
      <c r="M154" s="440">
        <f t="shared" si="5"/>
        <v>4454.8</v>
      </c>
    </row>
    <row r="155" spans="1:15" ht="17.100000000000001" customHeight="1" x14ac:dyDescent="0.25">
      <c r="A155" s="61" t="s">
        <v>430</v>
      </c>
      <c r="B155" s="275" t="s">
        <v>235</v>
      </c>
      <c r="C155" s="61" t="s">
        <v>203</v>
      </c>
      <c r="D155" s="337">
        <v>3</v>
      </c>
      <c r="E155" s="59">
        <v>220512.59999999998</v>
      </c>
      <c r="F155" s="276">
        <f t="shared" si="6"/>
        <v>661537.79999999993</v>
      </c>
      <c r="G155" s="359">
        <v>2</v>
      </c>
      <c r="H155" s="253">
        <v>123750</v>
      </c>
      <c r="I155" s="277">
        <v>1.4</v>
      </c>
      <c r="J155" s="372"/>
      <c r="K155" s="329">
        <v>173250</v>
      </c>
      <c r="L155" s="254">
        <v>1.2727999999999999</v>
      </c>
      <c r="M155" s="440">
        <f t="shared" si="5"/>
        <v>220512.59999999998</v>
      </c>
    </row>
    <row r="156" spans="1:15" ht="17.100000000000001" customHeight="1" x14ac:dyDescent="0.25">
      <c r="A156" s="61" t="s">
        <v>431</v>
      </c>
      <c r="B156" s="275" t="s">
        <v>236</v>
      </c>
      <c r="C156" s="61" t="s">
        <v>203</v>
      </c>
      <c r="D156" s="337">
        <v>6</v>
      </c>
      <c r="E156" s="59">
        <v>166010.79487999997</v>
      </c>
      <c r="F156" s="276">
        <f t="shared" si="6"/>
        <v>996064.76927999989</v>
      </c>
      <c r="G156" s="359">
        <v>1</v>
      </c>
      <c r="H156" s="253">
        <v>93164</v>
      </c>
      <c r="I156" s="277">
        <v>1.4</v>
      </c>
      <c r="J156" s="372"/>
      <c r="K156" s="329">
        <v>130429.59999999999</v>
      </c>
      <c r="L156" s="254">
        <v>1.2727999999999999</v>
      </c>
      <c r="M156" s="440">
        <f t="shared" ref="M156:M191" si="9">+K156*L156</f>
        <v>166010.79487999997</v>
      </c>
    </row>
    <row r="157" spans="1:15" ht="17.100000000000001" customHeight="1" x14ac:dyDescent="0.25">
      <c r="A157" s="61" t="s">
        <v>432</v>
      </c>
      <c r="B157" s="275" t="s">
        <v>237</v>
      </c>
      <c r="C157" s="61" t="s">
        <v>203</v>
      </c>
      <c r="D157" s="337">
        <f>6*3</f>
        <v>18</v>
      </c>
      <c r="E157" s="59">
        <v>37673.352639999997</v>
      </c>
      <c r="F157" s="276">
        <f t="shared" si="6"/>
        <v>678120.34751999995</v>
      </c>
      <c r="G157" s="359">
        <v>2</v>
      </c>
      <c r="H157" s="253">
        <v>21142</v>
      </c>
      <c r="I157" s="277">
        <v>1.4</v>
      </c>
      <c r="J157" s="372"/>
      <c r="K157" s="329">
        <v>29598.799999999999</v>
      </c>
      <c r="L157" s="254">
        <v>1.2727999999999999</v>
      </c>
      <c r="M157" s="440">
        <f t="shared" si="9"/>
        <v>37673.352639999997</v>
      </c>
    </row>
    <row r="158" spans="1:15" ht="17.100000000000001" customHeight="1" x14ac:dyDescent="0.25">
      <c r="A158" s="61" t="s">
        <v>433</v>
      </c>
      <c r="B158" s="275" t="s">
        <v>238</v>
      </c>
      <c r="C158" s="61" t="s">
        <v>203</v>
      </c>
      <c r="D158" s="337">
        <v>6</v>
      </c>
      <c r="E158" s="59">
        <v>68195.860319999992</v>
      </c>
      <c r="F158" s="276">
        <f t="shared" si="6"/>
        <v>409175.16191999998</v>
      </c>
      <c r="G158" s="359">
        <v>6</v>
      </c>
      <c r="H158" s="253">
        <v>38271</v>
      </c>
      <c r="I158" s="277">
        <v>1.4</v>
      </c>
      <c r="J158" s="372"/>
      <c r="K158" s="329">
        <v>53579.399999999994</v>
      </c>
      <c r="L158" s="254">
        <v>1.2727999999999999</v>
      </c>
      <c r="M158" s="440">
        <f t="shared" si="9"/>
        <v>68195.860319999992</v>
      </c>
    </row>
    <row r="159" spans="1:15" ht="17.100000000000001" customHeight="1" x14ac:dyDescent="0.25">
      <c r="A159" s="61" t="s">
        <v>434</v>
      </c>
      <c r="B159" s="275" t="s">
        <v>239</v>
      </c>
      <c r="C159" s="61" t="s">
        <v>203</v>
      </c>
      <c r="D159" s="337">
        <v>6</v>
      </c>
      <c r="E159" s="59">
        <v>55909.521919999992</v>
      </c>
      <c r="F159" s="276">
        <f t="shared" si="6"/>
        <v>335457.13151999994</v>
      </c>
      <c r="G159" s="359">
        <v>2</v>
      </c>
      <c r="H159" s="253">
        <v>31376</v>
      </c>
      <c r="I159" s="277">
        <v>1.4</v>
      </c>
      <c r="J159" s="372"/>
      <c r="K159" s="329">
        <v>43926.399999999994</v>
      </c>
      <c r="L159" s="254">
        <v>1.2727999999999999</v>
      </c>
      <c r="M159" s="440">
        <f t="shared" si="9"/>
        <v>55909.521919999992</v>
      </c>
    </row>
    <row r="160" spans="1:15" ht="17.100000000000001" customHeight="1" x14ac:dyDescent="0.25">
      <c r="A160" s="61" t="s">
        <v>435</v>
      </c>
      <c r="B160" s="275" t="s">
        <v>240</v>
      </c>
      <c r="C160" s="61" t="s">
        <v>203</v>
      </c>
      <c r="D160" s="337">
        <v>6</v>
      </c>
      <c r="E160" s="59">
        <v>31272.696</v>
      </c>
      <c r="F160" s="276">
        <f t="shared" si="6"/>
        <v>187636.17600000001</v>
      </c>
      <c r="G160" s="359">
        <v>2</v>
      </c>
      <c r="H160" s="253">
        <v>17550</v>
      </c>
      <c r="I160" s="277">
        <v>1.4</v>
      </c>
      <c r="J160" s="372"/>
      <c r="K160" s="329">
        <v>24570</v>
      </c>
      <c r="L160" s="254">
        <v>1.2727999999999999</v>
      </c>
      <c r="M160" s="440">
        <f t="shared" si="9"/>
        <v>31272.696</v>
      </c>
    </row>
    <row r="161" spans="1:13" ht="17.100000000000001" customHeight="1" x14ac:dyDescent="0.25">
      <c r="A161" s="61" t="s">
        <v>436</v>
      </c>
      <c r="B161" s="275" t="s">
        <v>363</v>
      </c>
      <c r="C161" s="61" t="s">
        <v>203</v>
      </c>
      <c r="D161" s="337">
        <v>6</v>
      </c>
      <c r="E161" s="59">
        <v>204432.55391999998</v>
      </c>
      <c r="F161" s="276">
        <f t="shared" si="6"/>
        <v>1226595.3235199999</v>
      </c>
      <c r="G161" s="359">
        <v>2</v>
      </c>
      <c r="H161" s="253">
        <v>114726</v>
      </c>
      <c r="I161" s="277">
        <v>1.4</v>
      </c>
      <c r="J161" s="372"/>
      <c r="K161" s="329">
        <v>160616.4</v>
      </c>
      <c r="L161" s="254">
        <v>1.2727999999999999</v>
      </c>
      <c r="M161" s="440">
        <f t="shared" si="9"/>
        <v>204432.55391999998</v>
      </c>
    </row>
    <row r="162" spans="1:13" ht="17.100000000000001" customHeight="1" x14ac:dyDescent="0.25">
      <c r="A162" s="61" t="s">
        <v>437</v>
      </c>
      <c r="B162" s="275" t="s">
        <v>242</v>
      </c>
      <c r="C162" s="61" t="s">
        <v>205</v>
      </c>
      <c r="D162" s="337">
        <v>200</v>
      </c>
      <c r="E162" s="59">
        <v>7425.2606399999986</v>
      </c>
      <c r="F162" s="276">
        <f t="shared" si="6"/>
        <v>1485052.1279999998</v>
      </c>
      <c r="G162" s="359">
        <v>2</v>
      </c>
      <c r="H162" s="253">
        <v>4167</v>
      </c>
      <c r="I162" s="277">
        <v>1.4</v>
      </c>
      <c r="J162" s="372"/>
      <c r="K162" s="329">
        <v>5833.7999999999993</v>
      </c>
      <c r="L162" s="254">
        <v>1.2727999999999999</v>
      </c>
      <c r="M162" s="440">
        <f t="shared" si="9"/>
        <v>7425.2606399999986</v>
      </c>
    </row>
    <row r="163" spans="1:13" ht="17.100000000000001" customHeight="1" x14ac:dyDescent="0.25">
      <c r="A163" s="61" t="s">
        <v>438</v>
      </c>
      <c r="B163" s="275" t="s">
        <v>243</v>
      </c>
      <c r="C163" s="61" t="s">
        <v>205</v>
      </c>
      <c r="D163" s="337">
        <v>80</v>
      </c>
      <c r="E163" s="59">
        <v>7425.2606399999986</v>
      </c>
      <c r="F163" s="276">
        <f t="shared" si="6"/>
        <v>594020.85119999992</v>
      </c>
      <c r="G163" s="359">
        <v>50</v>
      </c>
      <c r="H163" s="253">
        <v>4167</v>
      </c>
      <c r="I163" s="277">
        <v>1.4</v>
      </c>
      <c r="J163" s="372"/>
      <c r="K163" s="329">
        <v>5833.7999999999993</v>
      </c>
      <c r="L163" s="254">
        <v>1.2727999999999999</v>
      </c>
      <c r="M163" s="440">
        <f t="shared" si="9"/>
        <v>7425.2606399999986</v>
      </c>
    </row>
    <row r="164" spans="1:13" ht="17.100000000000001" customHeight="1" x14ac:dyDescent="0.25">
      <c r="A164" s="61" t="s">
        <v>439</v>
      </c>
      <c r="B164" s="275" t="s">
        <v>244</v>
      </c>
      <c r="C164" s="61" t="s">
        <v>205</v>
      </c>
      <c r="D164" s="337">
        <v>150</v>
      </c>
      <c r="E164" s="59">
        <v>6316.9063999999998</v>
      </c>
      <c r="F164" s="276">
        <f t="shared" ref="F164:F186" si="10">+E164*D164</f>
        <v>947535.96</v>
      </c>
      <c r="G164" s="359">
        <v>20</v>
      </c>
      <c r="H164" s="253">
        <v>3545</v>
      </c>
      <c r="I164" s="277">
        <v>1.4</v>
      </c>
      <c r="J164" s="372"/>
      <c r="K164" s="329">
        <v>4963</v>
      </c>
      <c r="L164" s="254">
        <v>1.2727999999999999</v>
      </c>
      <c r="M164" s="440">
        <f t="shared" si="9"/>
        <v>6316.9063999999998</v>
      </c>
    </row>
    <row r="165" spans="1:13" ht="17.100000000000001" customHeight="1" x14ac:dyDescent="0.25">
      <c r="A165" s="61" t="s">
        <v>440</v>
      </c>
      <c r="B165" s="275" t="s">
        <v>245</v>
      </c>
      <c r="C165" s="61" t="s">
        <v>205</v>
      </c>
      <c r="D165" s="337">
        <v>100</v>
      </c>
      <c r="E165" s="59">
        <v>6316.9063999999998</v>
      </c>
      <c r="F165" s="276">
        <f t="shared" si="10"/>
        <v>631690.64</v>
      </c>
      <c r="G165" s="359">
        <v>50</v>
      </c>
      <c r="H165" s="253">
        <v>3545</v>
      </c>
      <c r="I165" s="277">
        <v>1.4</v>
      </c>
      <c r="J165" s="372"/>
      <c r="K165" s="329">
        <v>4963</v>
      </c>
      <c r="L165" s="254">
        <v>1.2727999999999999</v>
      </c>
      <c r="M165" s="440">
        <f t="shared" si="9"/>
        <v>6316.9063999999998</v>
      </c>
    </row>
    <row r="166" spans="1:13" ht="17.100000000000001" customHeight="1" x14ac:dyDescent="0.25">
      <c r="A166" s="61" t="s">
        <v>441</v>
      </c>
      <c r="B166" s="275" t="s">
        <v>246</v>
      </c>
      <c r="C166" s="61" t="s">
        <v>205</v>
      </c>
      <c r="D166" s="337">
        <v>100</v>
      </c>
      <c r="E166" s="59">
        <v>946.19951999999989</v>
      </c>
      <c r="F166" s="276">
        <f t="shared" si="10"/>
        <v>94619.95199999999</v>
      </c>
      <c r="G166" s="359">
        <v>15</v>
      </c>
      <c r="H166" s="253">
        <v>531</v>
      </c>
      <c r="I166" s="277">
        <v>1.4</v>
      </c>
      <c r="J166" s="372"/>
      <c r="K166" s="329">
        <v>743.4</v>
      </c>
      <c r="L166" s="254">
        <v>1.2727999999999999</v>
      </c>
      <c r="M166" s="440">
        <f t="shared" si="9"/>
        <v>946.19951999999989</v>
      </c>
    </row>
    <row r="167" spans="1:13" ht="17.100000000000001" customHeight="1" x14ac:dyDescent="0.25">
      <c r="A167" s="61" t="s">
        <v>442</v>
      </c>
      <c r="B167" s="275" t="s">
        <v>247</v>
      </c>
      <c r="C167" s="61" t="s">
        <v>205</v>
      </c>
      <c r="D167" s="337">
        <v>100</v>
      </c>
      <c r="E167" s="59">
        <v>946.19951999999989</v>
      </c>
      <c r="F167" s="276">
        <f t="shared" si="10"/>
        <v>94619.95199999999</v>
      </c>
      <c r="G167" s="359">
        <v>15</v>
      </c>
      <c r="H167" s="253">
        <v>531</v>
      </c>
      <c r="I167" s="277">
        <v>1.4</v>
      </c>
      <c r="J167" s="372"/>
      <c r="K167" s="329">
        <v>743.4</v>
      </c>
      <c r="L167" s="254">
        <v>1.2727999999999999</v>
      </c>
      <c r="M167" s="440">
        <f t="shared" si="9"/>
        <v>946.19951999999989</v>
      </c>
    </row>
    <row r="168" spans="1:13" ht="17.100000000000001" customHeight="1" x14ac:dyDescent="0.25">
      <c r="A168" s="61" t="s">
        <v>443</v>
      </c>
      <c r="B168" s="275" t="s">
        <v>248</v>
      </c>
      <c r="C168" s="61" t="s">
        <v>205</v>
      </c>
      <c r="D168" s="337">
        <v>100</v>
      </c>
      <c r="E168" s="59">
        <v>3066.6843199999994</v>
      </c>
      <c r="F168" s="276">
        <f t="shared" si="10"/>
        <v>306668.43199999991</v>
      </c>
      <c r="G168" s="359">
        <v>10</v>
      </c>
      <c r="H168" s="253">
        <v>1721</v>
      </c>
      <c r="I168" s="277">
        <v>1.4</v>
      </c>
      <c r="J168" s="372"/>
      <c r="K168" s="329">
        <v>2409.3999999999996</v>
      </c>
      <c r="L168" s="254">
        <v>1.2727999999999999</v>
      </c>
      <c r="M168" s="440">
        <f t="shared" si="9"/>
        <v>3066.6843199999994</v>
      </c>
    </row>
    <row r="169" spans="1:13" ht="17.100000000000001" customHeight="1" x14ac:dyDescent="0.25">
      <c r="A169" s="61" t="s">
        <v>444</v>
      </c>
      <c r="B169" s="275" t="s">
        <v>249</v>
      </c>
      <c r="C169" s="61" t="s">
        <v>203</v>
      </c>
      <c r="D169" s="337">
        <v>200</v>
      </c>
      <c r="E169" s="59">
        <v>169.2824</v>
      </c>
      <c r="F169" s="276">
        <f t="shared" si="10"/>
        <v>33856.479999999996</v>
      </c>
      <c r="G169" s="359">
        <v>1</v>
      </c>
      <c r="H169" s="253">
        <v>95</v>
      </c>
      <c r="I169" s="277">
        <v>1.4</v>
      </c>
      <c r="J169" s="372"/>
      <c r="K169" s="329">
        <v>133</v>
      </c>
      <c r="L169" s="254">
        <v>1.2727999999999999</v>
      </c>
      <c r="M169" s="440">
        <f t="shared" si="9"/>
        <v>169.2824</v>
      </c>
    </row>
    <row r="170" spans="1:13" ht="17.100000000000001" customHeight="1" x14ac:dyDescent="0.25">
      <c r="A170" s="61" t="s">
        <v>445</v>
      </c>
      <c r="B170" s="275" t="s">
        <v>250</v>
      </c>
      <c r="C170" s="61" t="s">
        <v>203</v>
      </c>
      <c r="D170" s="337">
        <v>200</v>
      </c>
      <c r="E170" s="59">
        <v>147.89935999999997</v>
      </c>
      <c r="F170" s="276">
        <f t="shared" si="10"/>
        <v>29579.871999999996</v>
      </c>
      <c r="G170" s="359">
        <v>200</v>
      </c>
      <c r="H170" s="253">
        <v>83</v>
      </c>
      <c r="I170" s="277">
        <v>1.4</v>
      </c>
      <c r="J170" s="372"/>
      <c r="K170" s="329">
        <v>116.19999999999999</v>
      </c>
      <c r="L170" s="254">
        <v>1.2727999999999999</v>
      </c>
      <c r="M170" s="440">
        <f t="shared" si="9"/>
        <v>147.89935999999997</v>
      </c>
    </row>
    <row r="171" spans="1:13" ht="17.100000000000001" customHeight="1" x14ac:dyDescent="0.25">
      <c r="A171" s="61" t="s">
        <v>446</v>
      </c>
      <c r="B171" s="275" t="s">
        <v>251</v>
      </c>
      <c r="C171" s="61" t="s">
        <v>203</v>
      </c>
      <c r="D171" s="337">
        <v>100</v>
      </c>
      <c r="E171" s="59">
        <v>80.186399999999992</v>
      </c>
      <c r="F171" s="276">
        <f t="shared" si="10"/>
        <v>8018.6399999999994</v>
      </c>
      <c r="G171" s="359">
        <v>200</v>
      </c>
      <c r="H171" s="253">
        <v>45</v>
      </c>
      <c r="I171" s="277">
        <v>1.4</v>
      </c>
      <c r="J171" s="372"/>
      <c r="K171" s="329">
        <v>62.999999999999993</v>
      </c>
      <c r="L171" s="254">
        <v>1.2727999999999999</v>
      </c>
      <c r="M171" s="440">
        <f t="shared" si="9"/>
        <v>80.186399999999992</v>
      </c>
    </row>
    <row r="172" spans="1:13" ht="17.100000000000001" customHeight="1" x14ac:dyDescent="0.25">
      <c r="A172" s="61" t="s">
        <v>447</v>
      </c>
      <c r="B172" s="275" t="s">
        <v>252</v>
      </c>
      <c r="C172" s="61" t="s">
        <v>203</v>
      </c>
      <c r="D172" s="337">
        <v>100</v>
      </c>
      <c r="E172" s="59">
        <v>67.712959999999995</v>
      </c>
      <c r="F172" s="276">
        <f t="shared" si="10"/>
        <v>6771.2959999999994</v>
      </c>
      <c r="G172" s="359">
        <v>25</v>
      </c>
      <c r="H172" s="253">
        <v>38</v>
      </c>
      <c r="I172" s="277">
        <v>1.4</v>
      </c>
      <c r="J172" s="372"/>
      <c r="K172" s="329">
        <v>53.199999999999996</v>
      </c>
      <c r="L172" s="254">
        <v>1.2727999999999999</v>
      </c>
      <c r="M172" s="440">
        <f t="shared" si="9"/>
        <v>67.712959999999995</v>
      </c>
    </row>
    <row r="173" spans="1:13" ht="17.100000000000001" customHeight="1" x14ac:dyDescent="0.25">
      <c r="A173" s="390"/>
      <c r="B173" s="391"/>
      <c r="C173" s="390"/>
      <c r="D173" s="392"/>
      <c r="E173" s="393"/>
      <c r="F173" s="436"/>
      <c r="G173" s="359"/>
      <c r="I173" s="277"/>
      <c r="J173" s="372"/>
    </row>
    <row r="174" spans="1:13" ht="17.100000000000001" customHeight="1" x14ac:dyDescent="0.25">
      <c r="A174" s="433"/>
      <c r="B174" s="434"/>
      <c r="C174" s="433"/>
      <c r="D174" s="384"/>
      <c r="E174" s="385"/>
      <c r="F174" s="357"/>
      <c r="G174" s="359"/>
      <c r="I174" s="277"/>
      <c r="J174" s="372"/>
    </row>
    <row r="175" spans="1:13" ht="17.100000000000001" customHeight="1" x14ac:dyDescent="0.25">
      <c r="A175" s="433"/>
      <c r="B175" s="434"/>
      <c r="C175" s="433"/>
      <c r="D175" s="384"/>
      <c r="E175" s="385"/>
      <c r="F175" s="357"/>
      <c r="G175" s="359"/>
      <c r="I175" s="277"/>
      <c r="J175" s="372"/>
    </row>
    <row r="176" spans="1:13" ht="17.100000000000001" customHeight="1" x14ac:dyDescent="0.25">
      <c r="A176" s="433"/>
      <c r="B176" s="434"/>
      <c r="C176" s="433"/>
      <c r="D176" s="384"/>
      <c r="E176" s="385"/>
      <c r="F176" s="357"/>
      <c r="G176" s="359"/>
      <c r="I176" s="277"/>
      <c r="J176" s="372"/>
    </row>
    <row r="177" spans="1:13" ht="17.100000000000001" customHeight="1" x14ac:dyDescent="0.25">
      <c r="A177" s="437" t="s">
        <v>570</v>
      </c>
      <c r="B177" s="434"/>
      <c r="C177" s="433"/>
      <c r="D177" s="384"/>
      <c r="E177" s="385"/>
      <c r="F177" s="357"/>
      <c r="G177" s="359"/>
      <c r="I177" s="277"/>
      <c r="J177" s="372"/>
    </row>
    <row r="178" spans="1:13" ht="17.100000000000001" customHeight="1" x14ac:dyDescent="0.25">
      <c r="A178" s="386"/>
      <c r="B178" s="387"/>
      <c r="C178" s="386"/>
      <c r="D178" s="388"/>
      <c r="E178" s="389"/>
      <c r="F178" s="435"/>
      <c r="G178" s="359"/>
      <c r="I178" s="277"/>
      <c r="J178" s="372"/>
    </row>
    <row r="179" spans="1:13" ht="17.100000000000001" customHeight="1" x14ac:dyDescent="0.25">
      <c r="A179" s="61" t="s">
        <v>448</v>
      </c>
      <c r="B179" s="275" t="s">
        <v>253</v>
      </c>
      <c r="C179" s="61" t="s">
        <v>203</v>
      </c>
      <c r="D179" s="337">
        <v>10</v>
      </c>
      <c r="E179" s="59">
        <v>20160.642879999996</v>
      </c>
      <c r="F179" s="276">
        <f t="shared" si="10"/>
        <v>201606.42879999997</v>
      </c>
      <c r="G179" s="359">
        <v>100</v>
      </c>
      <c r="H179" s="253">
        <v>11314</v>
      </c>
      <c r="I179" s="277">
        <v>1.4</v>
      </c>
      <c r="J179" s="372"/>
      <c r="K179" s="329">
        <v>15839.599999999999</v>
      </c>
      <c r="L179" s="254">
        <v>1.2727999999999999</v>
      </c>
      <c r="M179" s="440">
        <f t="shared" si="9"/>
        <v>20160.642879999996</v>
      </c>
    </row>
    <row r="180" spans="1:13" ht="17.100000000000001" customHeight="1" x14ac:dyDescent="0.25">
      <c r="A180" s="61" t="s">
        <v>449</v>
      </c>
      <c r="B180" s="275" t="s">
        <v>254</v>
      </c>
      <c r="C180" s="61" t="s">
        <v>203</v>
      </c>
      <c r="D180" s="337">
        <v>100</v>
      </c>
      <c r="E180" s="59">
        <v>4410.2519999999995</v>
      </c>
      <c r="F180" s="276">
        <f t="shared" si="10"/>
        <v>441025.19999999995</v>
      </c>
      <c r="G180" s="359">
        <v>10</v>
      </c>
      <c r="H180" s="253">
        <v>2475</v>
      </c>
      <c r="I180" s="277">
        <v>1.4</v>
      </c>
      <c r="J180" s="372"/>
      <c r="K180" s="329">
        <v>3465</v>
      </c>
      <c r="L180" s="254">
        <v>1.2727999999999999</v>
      </c>
      <c r="M180" s="440">
        <f t="shared" si="9"/>
        <v>4410.2519999999995</v>
      </c>
    </row>
    <row r="181" spans="1:13" ht="17.100000000000001" customHeight="1" x14ac:dyDescent="0.25">
      <c r="A181" s="61" t="s">
        <v>450</v>
      </c>
      <c r="B181" s="275" t="s">
        <v>255</v>
      </c>
      <c r="C181" s="61" t="s">
        <v>203</v>
      </c>
      <c r="D181" s="337">
        <v>3</v>
      </c>
      <c r="E181" s="59">
        <v>34747.439999999995</v>
      </c>
      <c r="F181" s="276">
        <f t="shared" si="10"/>
        <v>104242.31999999998</v>
      </c>
      <c r="G181" s="359">
        <v>35</v>
      </c>
      <c r="H181" s="253">
        <v>19500</v>
      </c>
      <c r="I181" s="277">
        <v>1.4</v>
      </c>
      <c r="J181" s="372"/>
      <c r="K181" s="329">
        <v>27300</v>
      </c>
      <c r="L181" s="254">
        <v>1.2727999999999999</v>
      </c>
      <c r="M181" s="440">
        <f t="shared" si="9"/>
        <v>34747.439999999995</v>
      </c>
    </row>
    <row r="182" spans="1:13" ht="17.100000000000001" customHeight="1" x14ac:dyDescent="0.25">
      <c r="A182" s="61" t="s">
        <v>451</v>
      </c>
      <c r="B182" s="275" t="s">
        <v>256</v>
      </c>
      <c r="C182" s="61" t="s">
        <v>257</v>
      </c>
      <c r="D182" s="337">
        <v>2</v>
      </c>
      <c r="E182" s="59">
        <v>11849.768</v>
      </c>
      <c r="F182" s="276">
        <f t="shared" si="10"/>
        <v>23699.536</v>
      </c>
      <c r="G182" s="359">
        <v>1</v>
      </c>
      <c r="H182" s="253">
        <v>6650</v>
      </c>
      <c r="I182" s="277">
        <v>1.4</v>
      </c>
      <c r="J182" s="372"/>
      <c r="K182" s="329">
        <v>9310</v>
      </c>
      <c r="L182" s="254">
        <v>1.2727999999999999</v>
      </c>
      <c r="M182" s="440">
        <f t="shared" si="9"/>
        <v>11849.768</v>
      </c>
    </row>
    <row r="183" spans="1:13" ht="17.100000000000001" customHeight="1" x14ac:dyDescent="0.25">
      <c r="A183" s="61" t="s">
        <v>452</v>
      </c>
      <c r="B183" s="275" t="s">
        <v>272</v>
      </c>
      <c r="C183" s="61" t="s">
        <v>257</v>
      </c>
      <c r="D183" s="337">
        <v>15</v>
      </c>
      <c r="E183" s="59">
        <v>24946.879999999997</v>
      </c>
      <c r="F183" s="276">
        <f t="shared" si="10"/>
        <v>374203.19999999995</v>
      </c>
      <c r="G183" s="359">
        <v>2</v>
      </c>
      <c r="H183" s="253">
        <v>14000</v>
      </c>
      <c r="I183" s="277">
        <v>1.4</v>
      </c>
      <c r="J183" s="372"/>
      <c r="K183" s="329">
        <v>19600</v>
      </c>
      <c r="L183" s="254">
        <v>1.2727999999999999</v>
      </c>
      <c r="M183" s="440">
        <f t="shared" si="9"/>
        <v>24946.879999999997</v>
      </c>
    </row>
    <row r="184" spans="1:13" ht="17.100000000000001" customHeight="1" x14ac:dyDescent="0.25">
      <c r="A184" s="61" t="s">
        <v>453</v>
      </c>
      <c r="B184" s="275" t="s">
        <v>258</v>
      </c>
      <c r="C184" s="61" t="s">
        <v>257</v>
      </c>
      <c r="D184" s="337">
        <v>6</v>
      </c>
      <c r="E184" s="59">
        <v>6165.4431999999997</v>
      </c>
      <c r="F184" s="276">
        <f t="shared" si="10"/>
        <v>36992.659199999995</v>
      </c>
      <c r="G184" s="359">
        <v>2</v>
      </c>
      <c r="H184" s="253">
        <v>3460</v>
      </c>
      <c r="I184" s="277">
        <v>1.4</v>
      </c>
      <c r="J184" s="372"/>
      <c r="K184" s="329">
        <v>4844</v>
      </c>
      <c r="L184" s="254">
        <v>1.2727999999999999</v>
      </c>
      <c r="M184" s="440">
        <f t="shared" si="9"/>
        <v>6165.4431999999997</v>
      </c>
    </row>
    <row r="185" spans="1:13" ht="17.100000000000001" customHeight="1" x14ac:dyDescent="0.25">
      <c r="A185" s="61" t="s">
        <v>454</v>
      </c>
      <c r="B185" s="275" t="s">
        <v>455</v>
      </c>
      <c r="C185" s="61" t="s">
        <v>204</v>
      </c>
      <c r="D185" s="337">
        <v>245</v>
      </c>
      <c r="E185" s="59">
        <v>26728.799999999999</v>
      </c>
      <c r="F185" s="276">
        <f t="shared" si="10"/>
        <v>6548556</v>
      </c>
      <c r="G185" s="359">
        <v>100</v>
      </c>
      <c r="H185" s="253">
        <v>15000</v>
      </c>
      <c r="I185" s="277">
        <v>1.4</v>
      </c>
      <c r="J185" s="372"/>
      <c r="K185" s="329">
        <v>21000</v>
      </c>
      <c r="L185" s="254">
        <v>1.2727999999999999</v>
      </c>
      <c r="M185" s="440">
        <f t="shared" si="9"/>
        <v>26728.799999999999</v>
      </c>
    </row>
    <row r="186" spans="1:13" ht="17.100000000000001" customHeight="1" x14ac:dyDescent="0.25">
      <c r="A186" s="61" t="s">
        <v>456</v>
      </c>
      <c r="B186" s="275" t="s">
        <v>260</v>
      </c>
      <c r="C186" s="61" t="s">
        <v>204</v>
      </c>
      <c r="D186" s="337">
        <v>1</v>
      </c>
      <c r="E186" s="59">
        <v>440939</v>
      </c>
      <c r="F186" s="276">
        <f t="shared" si="10"/>
        <v>440939</v>
      </c>
      <c r="G186" s="359">
        <v>1</v>
      </c>
      <c r="H186" s="253">
        <v>150000</v>
      </c>
      <c r="I186" s="277">
        <v>1.4</v>
      </c>
      <c r="J186" s="372"/>
      <c r="K186" s="329">
        <v>350000</v>
      </c>
      <c r="L186" s="254">
        <v>1.2727999999999999</v>
      </c>
      <c r="M186" s="440">
        <f t="shared" si="9"/>
        <v>445480</v>
      </c>
    </row>
    <row r="187" spans="1:13" ht="17.100000000000001" customHeight="1" x14ac:dyDescent="0.25">
      <c r="A187" s="61"/>
      <c r="B187" s="275"/>
      <c r="C187" s="61"/>
      <c r="D187" s="337"/>
      <c r="E187" s="59"/>
      <c r="F187" s="276"/>
      <c r="G187" s="359"/>
      <c r="I187" s="277"/>
      <c r="J187" s="372"/>
    </row>
    <row r="188" spans="1:13" ht="17.100000000000001" customHeight="1" x14ac:dyDescent="0.25">
      <c r="A188" s="61"/>
      <c r="B188" s="275"/>
      <c r="C188" s="61"/>
      <c r="D188" s="337"/>
      <c r="E188" s="59"/>
      <c r="F188" s="276"/>
      <c r="G188" s="359"/>
      <c r="I188" s="277"/>
      <c r="J188" s="372"/>
    </row>
    <row r="189" spans="1:13" ht="17.100000000000001" customHeight="1" x14ac:dyDescent="0.25">
      <c r="A189" s="280"/>
      <c r="B189" s="281" t="s">
        <v>512</v>
      </c>
      <c r="C189" s="282"/>
      <c r="D189" s="338"/>
      <c r="E189" s="59"/>
      <c r="F189" s="276"/>
      <c r="G189" s="359"/>
      <c r="H189" s="260">
        <v>47476010</v>
      </c>
      <c r="I189" s="277">
        <v>1.2</v>
      </c>
      <c r="J189" s="372"/>
      <c r="K189" s="253">
        <f>+H189*I189</f>
        <v>56971212</v>
      </c>
      <c r="L189" s="254">
        <v>1.2727999999999999</v>
      </c>
      <c r="M189" s="440">
        <f t="shared" si="9"/>
        <v>72512958.633599997</v>
      </c>
    </row>
    <row r="190" spans="1:13" s="352" customFormat="1" ht="17.100000000000001" customHeight="1" x14ac:dyDescent="0.25">
      <c r="A190" s="344"/>
      <c r="B190" s="345" t="s">
        <v>459</v>
      </c>
      <c r="C190" s="346"/>
      <c r="D190" s="347"/>
      <c r="E190" s="348"/>
      <c r="F190" s="348"/>
      <c r="G190" s="367">
        <f>+F189/F270</f>
        <v>0</v>
      </c>
      <c r="H190" s="349"/>
      <c r="I190" s="350"/>
      <c r="J190" s="373"/>
      <c r="K190" s="349"/>
      <c r="L190" s="254">
        <v>1.2727999999999999</v>
      </c>
      <c r="M190" s="440">
        <f t="shared" si="9"/>
        <v>0</v>
      </c>
    </row>
    <row r="191" spans="1:13" s="352" customFormat="1" ht="17.100000000000001" customHeight="1" x14ac:dyDescent="0.25">
      <c r="A191" s="344"/>
      <c r="B191" s="345" t="s">
        <v>460</v>
      </c>
      <c r="C191" s="346"/>
      <c r="D191" s="347"/>
      <c r="E191" s="348"/>
      <c r="F191" s="348"/>
      <c r="G191" s="360"/>
      <c r="H191" s="349"/>
      <c r="I191" s="350"/>
      <c r="J191" s="373"/>
      <c r="K191" s="349"/>
      <c r="L191" s="254">
        <v>1.2727999999999999</v>
      </c>
      <c r="M191" s="440">
        <f t="shared" si="9"/>
        <v>0</v>
      </c>
    </row>
    <row r="192" spans="1:13" s="352" customFormat="1" ht="17.100000000000001" customHeight="1" x14ac:dyDescent="0.25">
      <c r="A192" s="344"/>
      <c r="B192" s="345" t="s">
        <v>461</v>
      </c>
      <c r="C192" s="346"/>
      <c r="D192" s="347"/>
      <c r="E192" s="348"/>
      <c r="F192" s="348"/>
      <c r="G192" s="360"/>
      <c r="H192" s="349"/>
      <c r="I192" s="350"/>
      <c r="J192" s="373"/>
      <c r="K192" s="349"/>
      <c r="M192" s="442"/>
    </row>
    <row r="193" spans="1:13" s="352" customFormat="1" ht="17.100000000000001" customHeight="1" x14ac:dyDescent="0.25">
      <c r="A193" s="344"/>
      <c r="B193" s="345" t="s">
        <v>462</v>
      </c>
      <c r="C193" s="346"/>
      <c r="D193" s="347"/>
      <c r="E193" s="348"/>
      <c r="F193" s="348"/>
      <c r="G193" s="360"/>
      <c r="H193" s="349"/>
      <c r="I193" s="350"/>
      <c r="J193" s="373"/>
      <c r="K193" s="349"/>
      <c r="M193" s="442"/>
    </row>
    <row r="194" spans="1:13" s="352" customFormat="1" ht="17.100000000000001" customHeight="1" x14ac:dyDescent="0.25">
      <c r="A194" s="344"/>
      <c r="B194" s="345" t="s">
        <v>463</v>
      </c>
      <c r="C194" s="346"/>
      <c r="D194" s="347"/>
      <c r="E194" s="348"/>
      <c r="F194" s="348"/>
      <c r="G194" s="360"/>
      <c r="H194" s="349"/>
      <c r="I194" s="350"/>
      <c r="J194" s="373"/>
      <c r="K194" s="349"/>
      <c r="M194" s="442"/>
    </row>
    <row r="195" spans="1:13" s="352" customFormat="1" ht="17.100000000000001" customHeight="1" x14ac:dyDescent="0.25">
      <c r="A195" s="344"/>
      <c r="B195" s="345" t="s">
        <v>464</v>
      </c>
      <c r="C195" s="346"/>
      <c r="D195" s="347"/>
      <c r="E195" s="348"/>
      <c r="F195" s="348"/>
      <c r="G195" s="360"/>
      <c r="H195" s="349"/>
      <c r="I195" s="350"/>
      <c r="J195" s="373"/>
      <c r="K195" s="349"/>
      <c r="M195" s="442"/>
    </row>
    <row r="196" spans="1:13" s="352" customFormat="1" ht="17.100000000000001" customHeight="1" x14ac:dyDescent="0.25">
      <c r="A196" s="344"/>
      <c r="B196" s="345" t="s">
        <v>465</v>
      </c>
      <c r="C196" s="346"/>
      <c r="D196" s="347"/>
      <c r="E196" s="348"/>
      <c r="F196" s="348"/>
      <c r="G196" s="360"/>
      <c r="H196" s="349"/>
      <c r="I196" s="350"/>
      <c r="J196" s="373"/>
      <c r="K196" s="349"/>
      <c r="M196" s="442"/>
    </row>
    <row r="197" spans="1:13" s="352" customFormat="1" ht="17.100000000000001" customHeight="1" x14ac:dyDescent="0.25">
      <c r="A197" s="344"/>
      <c r="B197" s="345" t="s">
        <v>466</v>
      </c>
      <c r="C197" s="346"/>
      <c r="D197" s="347"/>
      <c r="E197" s="348"/>
      <c r="F197" s="348"/>
      <c r="G197" s="360"/>
      <c r="H197" s="349"/>
      <c r="I197" s="350"/>
      <c r="J197" s="373"/>
      <c r="K197" s="349"/>
      <c r="M197" s="442"/>
    </row>
    <row r="198" spans="1:13" s="352" customFormat="1" ht="17.100000000000001" customHeight="1" x14ac:dyDescent="0.25">
      <c r="A198" s="344"/>
      <c r="B198" s="345" t="s">
        <v>467</v>
      </c>
      <c r="C198" s="346"/>
      <c r="D198" s="347"/>
      <c r="E198" s="348"/>
      <c r="F198" s="348"/>
      <c r="G198" s="360"/>
      <c r="H198" s="349"/>
      <c r="I198" s="350"/>
      <c r="J198" s="373"/>
      <c r="K198" s="349"/>
      <c r="M198" s="442"/>
    </row>
    <row r="199" spans="1:13" s="352" customFormat="1" ht="17.100000000000001" customHeight="1" x14ac:dyDescent="0.25">
      <c r="A199" s="344"/>
      <c r="B199" s="345" t="s">
        <v>468</v>
      </c>
      <c r="C199" s="346"/>
      <c r="D199" s="347"/>
      <c r="E199" s="348"/>
      <c r="F199" s="348"/>
      <c r="G199" s="360"/>
      <c r="H199" s="349"/>
      <c r="I199" s="350"/>
      <c r="J199" s="373"/>
      <c r="K199" s="349"/>
      <c r="M199" s="442"/>
    </row>
    <row r="200" spans="1:13" s="352" customFormat="1" ht="16.5" customHeight="1" x14ac:dyDescent="0.25">
      <c r="A200" s="344"/>
      <c r="B200" s="345"/>
      <c r="C200" s="346"/>
      <c r="D200" s="347"/>
      <c r="E200" s="348"/>
      <c r="F200" s="348"/>
      <c r="G200" s="360"/>
      <c r="H200" s="349"/>
      <c r="I200" s="350"/>
      <c r="J200" s="373"/>
      <c r="K200" s="349"/>
      <c r="M200" s="442"/>
    </row>
    <row r="201" spans="1:13" s="352" customFormat="1" ht="17.100000000000001" customHeight="1" x14ac:dyDescent="0.25">
      <c r="A201" s="455" t="s">
        <v>562</v>
      </c>
      <c r="B201" s="456"/>
      <c r="C201" s="456"/>
      <c r="D201" s="456"/>
      <c r="E201" s="457"/>
      <c r="F201" s="426">
        <f>SUM(F15:F200)</f>
        <v>1124319240.0654402</v>
      </c>
      <c r="G201" s="360"/>
      <c r="H201" s="349"/>
      <c r="I201" s="350"/>
      <c r="J201" s="373"/>
      <c r="K201" s="349"/>
      <c r="M201" s="442"/>
    </row>
    <row r="202" spans="1:13" s="352" customFormat="1" ht="17.100000000000001" customHeight="1" x14ac:dyDescent="0.25">
      <c r="A202" s="280"/>
      <c r="B202" s="310"/>
      <c r="C202" s="282"/>
      <c r="D202" s="338"/>
      <c r="E202" s="284"/>
      <c r="F202" s="348"/>
      <c r="G202" s="360"/>
      <c r="H202" s="349"/>
      <c r="I202" s="350"/>
      <c r="J202" s="373"/>
      <c r="K202" s="349"/>
      <c r="M202" s="442"/>
    </row>
    <row r="203" spans="1:13" s="352" customFormat="1" ht="52.5" customHeight="1" x14ac:dyDescent="0.25">
      <c r="A203" s="421" t="s">
        <v>514</v>
      </c>
      <c r="B203" s="402" t="s">
        <v>556</v>
      </c>
      <c r="C203" s="422"/>
      <c r="D203" s="423"/>
      <c r="E203" s="424"/>
      <c r="F203" s="425"/>
      <c r="G203" s="360"/>
      <c r="H203" s="349"/>
      <c r="I203" s="350"/>
      <c r="J203" s="373"/>
      <c r="K203" s="349"/>
      <c r="M203" s="442"/>
    </row>
    <row r="204" spans="1:13" ht="17.100000000000001" customHeight="1" x14ac:dyDescent="0.25">
      <c r="A204" s="61"/>
      <c r="B204" s="275" t="s">
        <v>515</v>
      </c>
      <c r="C204" s="61" t="s">
        <v>203</v>
      </c>
      <c r="D204" s="61">
        <v>1</v>
      </c>
      <c r="E204" s="59">
        <v>9556932</v>
      </c>
      <c r="F204" s="276">
        <f t="shared" ref="F204:F223" si="11">+E204*D204</f>
        <v>9556932</v>
      </c>
      <c r="G204" s="271">
        <v>6826380</v>
      </c>
      <c r="H204" s="277">
        <v>1.4</v>
      </c>
      <c r="I204" s="277"/>
      <c r="J204" s="254"/>
      <c r="K204" s="254"/>
    </row>
    <row r="205" spans="1:13" ht="17.100000000000001" customHeight="1" x14ac:dyDescent="0.25">
      <c r="A205" s="61"/>
      <c r="B205" s="275" t="s">
        <v>516</v>
      </c>
      <c r="C205" s="61" t="s">
        <v>203</v>
      </c>
      <c r="D205" s="61">
        <v>2</v>
      </c>
      <c r="E205" s="59">
        <v>5681784</v>
      </c>
      <c r="F205" s="276">
        <f t="shared" si="11"/>
        <v>11363568</v>
      </c>
      <c r="G205" s="253">
        <v>4058417</v>
      </c>
      <c r="H205" s="277">
        <v>1.4</v>
      </c>
      <c r="I205" s="329"/>
      <c r="J205" s="254"/>
      <c r="K205" s="254"/>
    </row>
    <row r="206" spans="1:13" ht="17.100000000000001" customHeight="1" x14ac:dyDescent="0.25">
      <c r="A206" s="61"/>
      <c r="B206" s="275" t="s">
        <v>517</v>
      </c>
      <c r="C206" s="61" t="s">
        <v>203</v>
      </c>
      <c r="D206" s="61">
        <v>1</v>
      </c>
      <c r="E206" s="59">
        <v>2693543</v>
      </c>
      <c r="F206" s="276">
        <f t="shared" si="11"/>
        <v>2693543</v>
      </c>
      <c r="G206" s="253">
        <v>1923959</v>
      </c>
      <c r="H206" s="277">
        <v>1.4</v>
      </c>
      <c r="I206" s="277"/>
      <c r="J206" s="254"/>
      <c r="K206" s="254"/>
    </row>
    <row r="207" spans="1:13" ht="17.100000000000001" customHeight="1" x14ac:dyDescent="0.25">
      <c r="A207" s="61"/>
      <c r="B207" s="275" t="s">
        <v>518</v>
      </c>
      <c r="C207" s="61" t="s">
        <v>203</v>
      </c>
      <c r="D207" s="61">
        <v>1</v>
      </c>
      <c r="E207" s="59">
        <v>285863</v>
      </c>
      <c r="F207" s="276">
        <f t="shared" si="11"/>
        <v>285863</v>
      </c>
      <c r="G207" s="253">
        <v>204188</v>
      </c>
      <c r="H207" s="277">
        <v>1.4</v>
      </c>
      <c r="I207" s="277"/>
      <c r="J207" s="254"/>
      <c r="K207" s="254"/>
    </row>
    <row r="208" spans="1:13" ht="17.100000000000001" customHeight="1" x14ac:dyDescent="0.25">
      <c r="A208" s="61"/>
      <c r="B208" s="275" t="s">
        <v>519</v>
      </c>
      <c r="C208" s="61" t="s">
        <v>203</v>
      </c>
      <c r="D208" s="61">
        <v>2</v>
      </c>
      <c r="E208" s="59">
        <v>533610</v>
      </c>
      <c r="F208" s="276">
        <f t="shared" si="11"/>
        <v>1067220</v>
      </c>
      <c r="G208" s="253">
        <v>381150</v>
      </c>
      <c r="H208" s="277">
        <v>1.4</v>
      </c>
      <c r="I208" s="277"/>
      <c r="J208" s="254"/>
      <c r="K208" s="254"/>
    </row>
    <row r="209" spans="1:11" ht="17.100000000000001" customHeight="1" x14ac:dyDescent="0.25">
      <c r="A209" s="61"/>
      <c r="B209" s="275" t="s">
        <v>520</v>
      </c>
      <c r="C209" s="61" t="s">
        <v>205</v>
      </c>
      <c r="D209" s="61">
        <v>30</v>
      </c>
      <c r="E209" s="59">
        <v>9786</v>
      </c>
      <c r="F209" s="276">
        <f t="shared" si="11"/>
        <v>293580</v>
      </c>
      <c r="G209" s="253">
        <v>6990</v>
      </c>
      <c r="H209" s="277">
        <v>1.4</v>
      </c>
      <c r="I209" s="277"/>
      <c r="J209" s="254"/>
      <c r="K209" s="254"/>
    </row>
    <row r="210" spans="1:11" ht="17.100000000000001" customHeight="1" x14ac:dyDescent="0.25">
      <c r="A210" s="61"/>
      <c r="B210" s="275" t="s">
        <v>521</v>
      </c>
      <c r="C210" s="61" t="s">
        <v>203</v>
      </c>
      <c r="D210" s="61">
        <v>1</v>
      </c>
      <c r="E210" s="59">
        <v>509369</v>
      </c>
      <c r="F210" s="276">
        <f t="shared" si="11"/>
        <v>509369</v>
      </c>
      <c r="G210" s="253">
        <v>363835</v>
      </c>
      <c r="H210" s="277">
        <v>1.4</v>
      </c>
      <c r="I210" s="277"/>
      <c r="J210" s="254"/>
      <c r="K210" s="254"/>
    </row>
    <row r="211" spans="1:11" ht="17.100000000000001" customHeight="1" x14ac:dyDescent="0.25">
      <c r="A211" s="61"/>
      <c r="B211" s="275" t="s">
        <v>522</v>
      </c>
      <c r="C211" s="61" t="s">
        <v>205</v>
      </c>
      <c r="D211" s="61">
        <v>1000</v>
      </c>
      <c r="E211" s="59">
        <v>31609</v>
      </c>
      <c r="F211" s="276">
        <f t="shared" si="11"/>
        <v>31609000</v>
      </c>
      <c r="G211" s="253">
        <v>22578</v>
      </c>
      <c r="H211" s="277">
        <v>1.4</v>
      </c>
      <c r="I211" s="277"/>
      <c r="J211" s="254"/>
      <c r="K211" s="254"/>
    </row>
    <row r="212" spans="1:11" ht="17.100000000000001" customHeight="1" x14ac:dyDescent="0.25">
      <c r="A212" s="61"/>
      <c r="B212" s="275" t="s">
        <v>523</v>
      </c>
      <c r="C212" s="61" t="s">
        <v>524</v>
      </c>
      <c r="D212" s="61">
        <v>5</v>
      </c>
      <c r="E212" s="59">
        <v>20580</v>
      </c>
      <c r="F212" s="276">
        <f t="shared" si="11"/>
        <v>102900</v>
      </c>
      <c r="G212" s="253">
        <v>14700</v>
      </c>
      <c r="H212" s="277">
        <v>1.4</v>
      </c>
      <c r="I212" s="277"/>
      <c r="J212" s="254"/>
      <c r="K212" s="254"/>
    </row>
    <row r="213" spans="1:11" ht="17.100000000000001" customHeight="1" x14ac:dyDescent="0.25">
      <c r="A213" s="61"/>
      <c r="B213" s="275" t="s">
        <v>525</v>
      </c>
      <c r="C213" s="61" t="s">
        <v>203</v>
      </c>
      <c r="D213" s="61">
        <v>2</v>
      </c>
      <c r="E213" s="59">
        <v>112000</v>
      </c>
      <c r="F213" s="276">
        <f t="shared" si="11"/>
        <v>224000</v>
      </c>
      <c r="G213" s="253">
        <v>80000</v>
      </c>
      <c r="H213" s="277">
        <v>1.4</v>
      </c>
      <c r="I213" s="277"/>
      <c r="J213" s="254"/>
      <c r="K213" s="254"/>
    </row>
    <row r="214" spans="1:11" ht="17.100000000000001" customHeight="1" x14ac:dyDescent="0.25">
      <c r="A214" s="61"/>
      <c r="B214" s="275" t="s">
        <v>526</v>
      </c>
      <c r="C214" s="61" t="s">
        <v>527</v>
      </c>
      <c r="D214" s="61">
        <v>50</v>
      </c>
      <c r="E214" s="59">
        <v>1400</v>
      </c>
      <c r="F214" s="276">
        <f t="shared" si="11"/>
        <v>70000</v>
      </c>
      <c r="G214" s="253">
        <v>1000</v>
      </c>
      <c r="H214" s="277">
        <v>1.4</v>
      </c>
      <c r="I214" s="277"/>
      <c r="J214" s="254"/>
      <c r="K214" s="254"/>
    </row>
    <row r="215" spans="1:11" ht="17.100000000000001" customHeight="1" x14ac:dyDescent="0.25">
      <c r="A215" s="61"/>
      <c r="B215" s="275" t="s">
        <v>528</v>
      </c>
      <c r="C215" s="61" t="s">
        <v>203</v>
      </c>
      <c r="D215" s="61">
        <v>2</v>
      </c>
      <c r="E215" s="59">
        <v>525987</v>
      </c>
      <c r="F215" s="276">
        <f t="shared" si="11"/>
        <v>1051974</v>
      </c>
      <c r="G215" s="253">
        <v>375705</v>
      </c>
      <c r="H215" s="277">
        <v>1.4</v>
      </c>
      <c r="I215" s="277"/>
      <c r="J215" s="254"/>
      <c r="K215" s="254"/>
    </row>
    <row r="216" spans="1:11" ht="17.100000000000001" customHeight="1" x14ac:dyDescent="0.25">
      <c r="A216" s="61"/>
      <c r="B216" s="275" t="s">
        <v>529</v>
      </c>
      <c r="C216" s="61" t="s">
        <v>203</v>
      </c>
      <c r="D216" s="61">
        <v>5</v>
      </c>
      <c r="E216" s="59">
        <v>2800</v>
      </c>
      <c r="F216" s="276">
        <f t="shared" si="11"/>
        <v>14000</v>
      </c>
      <c r="G216" s="253">
        <v>2000</v>
      </c>
      <c r="H216" s="277">
        <v>1.4</v>
      </c>
      <c r="I216" s="277"/>
      <c r="J216" s="254"/>
      <c r="K216" s="254"/>
    </row>
    <row r="217" spans="1:11" ht="17.100000000000001" customHeight="1" x14ac:dyDescent="0.25">
      <c r="A217" s="61"/>
      <c r="B217" s="275" t="s">
        <v>530</v>
      </c>
      <c r="C217" s="61" t="s">
        <v>458</v>
      </c>
      <c r="D217" s="61">
        <v>1</v>
      </c>
      <c r="E217" s="59">
        <v>1400000</v>
      </c>
      <c r="F217" s="276">
        <f t="shared" si="11"/>
        <v>1400000</v>
      </c>
      <c r="G217" s="253">
        <v>1000000</v>
      </c>
      <c r="H217" s="277">
        <v>1.4</v>
      </c>
      <c r="I217" s="277"/>
      <c r="J217" s="254"/>
      <c r="K217" s="254"/>
    </row>
    <row r="218" spans="1:11" ht="17.100000000000001" customHeight="1" x14ac:dyDescent="0.25">
      <c r="A218" s="61"/>
      <c r="B218" s="275" t="s">
        <v>531</v>
      </c>
      <c r="C218" s="61" t="s">
        <v>458</v>
      </c>
      <c r="D218" s="61">
        <v>1</v>
      </c>
      <c r="E218" s="59">
        <v>420000</v>
      </c>
      <c r="F218" s="276">
        <f>+E218*D218</f>
        <v>420000</v>
      </c>
      <c r="G218" s="253">
        <v>300000</v>
      </c>
      <c r="H218" s="277">
        <v>1.4</v>
      </c>
      <c r="I218" s="277"/>
      <c r="J218" s="254"/>
      <c r="K218" s="254"/>
    </row>
    <row r="219" spans="1:11" ht="17.100000000000001" customHeight="1" x14ac:dyDescent="0.25">
      <c r="A219" s="61"/>
      <c r="B219" s="275" t="s">
        <v>532</v>
      </c>
      <c r="C219" s="61" t="s">
        <v>458</v>
      </c>
      <c r="D219" s="61">
        <v>1</v>
      </c>
      <c r="E219" s="59">
        <v>140000</v>
      </c>
      <c r="F219" s="276">
        <f>+E219*D219</f>
        <v>140000</v>
      </c>
      <c r="G219" s="253">
        <v>100000</v>
      </c>
      <c r="H219" s="277">
        <v>1.4</v>
      </c>
      <c r="I219" s="277"/>
      <c r="J219" s="254"/>
      <c r="K219" s="254"/>
    </row>
    <row r="220" spans="1:11" ht="17.100000000000001" customHeight="1" x14ac:dyDescent="0.25">
      <c r="A220" s="61"/>
      <c r="B220" s="275" t="s">
        <v>533</v>
      </c>
      <c r="C220" s="61" t="s">
        <v>534</v>
      </c>
      <c r="D220" s="61">
        <v>1</v>
      </c>
      <c r="E220" s="59">
        <v>147000</v>
      </c>
      <c r="F220" s="276">
        <f>+E220*D220</f>
        <v>147000</v>
      </c>
      <c r="G220" s="253">
        <v>105000</v>
      </c>
      <c r="H220" s="277">
        <v>1.4</v>
      </c>
      <c r="I220" s="277"/>
      <c r="J220" s="254"/>
      <c r="K220" s="254"/>
    </row>
    <row r="221" spans="1:11" ht="17.100000000000001" customHeight="1" x14ac:dyDescent="0.25">
      <c r="A221" s="61"/>
      <c r="B221" s="275" t="s">
        <v>535</v>
      </c>
      <c r="C221" s="61" t="s">
        <v>458</v>
      </c>
      <c r="D221" s="61">
        <v>1</v>
      </c>
      <c r="E221" s="59">
        <v>91000</v>
      </c>
      <c r="F221" s="276">
        <f>+E221*D221</f>
        <v>91000</v>
      </c>
      <c r="G221" s="253">
        <v>65000</v>
      </c>
      <c r="H221" s="277">
        <v>1.4</v>
      </c>
      <c r="I221" s="277"/>
      <c r="J221" s="254"/>
      <c r="K221" s="254"/>
    </row>
    <row r="222" spans="1:11" ht="17.100000000000001" customHeight="1" x14ac:dyDescent="0.25">
      <c r="A222" s="61"/>
      <c r="B222" s="275"/>
      <c r="C222" s="61"/>
      <c r="D222" s="61"/>
      <c r="E222" s="59"/>
      <c r="F222" s="276"/>
      <c r="H222" s="277"/>
      <c r="I222" s="277"/>
      <c r="J222" s="254"/>
      <c r="K222" s="254"/>
    </row>
    <row r="223" spans="1:11" ht="17.100000000000001" customHeight="1" x14ac:dyDescent="0.25">
      <c r="A223" s="280"/>
      <c r="B223" s="281" t="s">
        <v>457</v>
      </c>
      <c r="C223" s="282" t="s">
        <v>458</v>
      </c>
      <c r="D223" s="283">
        <v>1</v>
      </c>
      <c r="E223" s="59">
        <v>13001450</v>
      </c>
      <c r="F223" s="276">
        <f t="shared" si="11"/>
        <v>13001450</v>
      </c>
      <c r="G223" s="260">
        <v>3598750</v>
      </c>
      <c r="H223" s="277">
        <v>1.4</v>
      </c>
      <c r="I223" s="285"/>
      <c r="J223" s="254"/>
      <c r="K223" s="254"/>
    </row>
    <row r="224" spans="1:11" ht="17.100000000000001" customHeight="1" x14ac:dyDescent="0.25">
      <c r="A224" s="61"/>
      <c r="B224" s="406" t="s">
        <v>536</v>
      </c>
      <c r="C224" s="61"/>
      <c r="D224" s="61"/>
      <c r="E224" s="59"/>
      <c r="F224" s="276"/>
      <c r="G224" s="271">
        <v>100000</v>
      </c>
      <c r="H224" s="277">
        <v>1.4</v>
      </c>
      <c r="I224" s="277"/>
      <c r="J224" s="254"/>
      <c r="K224" s="254"/>
    </row>
    <row r="225" spans="1:13" ht="17.100000000000001" customHeight="1" x14ac:dyDescent="0.25">
      <c r="A225" s="61"/>
      <c r="B225" s="406" t="s">
        <v>537</v>
      </c>
      <c r="C225" s="61"/>
      <c r="D225" s="61"/>
      <c r="E225" s="59"/>
      <c r="F225" s="276"/>
      <c r="G225" s="271">
        <v>250000</v>
      </c>
      <c r="H225" s="277">
        <v>1.4</v>
      </c>
      <c r="I225" s="277"/>
      <c r="J225" s="254"/>
      <c r="K225" s="254"/>
    </row>
    <row r="226" spans="1:13" ht="17.100000000000001" customHeight="1" x14ac:dyDescent="0.25">
      <c r="A226" s="61"/>
      <c r="B226" s="406" t="s">
        <v>538</v>
      </c>
      <c r="C226" s="61"/>
      <c r="D226" s="61"/>
      <c r="E226" s="59"/>
      <c r="F226" s="276"/>
      <c r="G226" s="253">
        <v>2500</v>
      </c>
      <c r="H226" s="277">
        <v>1.4</v>
      </c>
      <c r="I226" s="277"/>
      <c r="J226" s="254"/>
      <c r="K226" s="254"/>
    </row>
    <row r="227" spans="1:13" ht="17.100000000000001" customHeight="1" x14ac:dyDescent="0.25">
      <c r="A227" s="61"/>
      <c r="B227" s="406" t="s">
        <v>539</v>
      </c>
      <c r="C227" s="61"/>
      <c r="D227" s="61"/>
      <c r="E227" s="59"/>
      <c r="F227" s="276"/>
      <c r="G227" s="253">
        <v>2000</v>
      </c>
      <c r="H227" s="277">
        <v>1.4</v>
      </c>
      <c r="I227" s="277"/>
      <c r="J227" s="254"/>
      <c r="K227" s="254"/>
    </row>
    <row r="228" spans="1:13" ht="17.100000000000001" customHeight="1" x14ac:dyDescent="0.25">
      <c r="A228" s="61"/>
      <c r="B228" s="406" t="s">
        <v>540</v>
      </c>
      <c r="C228" s="61"/>
      <c r="D228" s="61"/>
      <c r="E228" s="59"/>
      <c r="F228" s="276"/>
      <c r="G228" s="253">
        <v>1330000</v>
      </c>
      <c r="H228" s="277">
        <v>1.4</v>
      </c>
      <c r="I228" s="277"/>
      <c r="J228" s="254"/>
      <c r="K228" s="254"/>
    </row>
    <row r="229" spans="1:13" ht="17.100000000000001" customHeight="1" x14ac:dyDescent="0.25">
      <c r="A229" s="61"/>
      <c r="B229" s="406" t="s">
        <v>541</v>
      </c>
      <c r="C229" s="61"/>
      <c r="D229" s="61"/>
      <c r="E229" s="59"/>
      <c r="F229" s="276"/>
      <c r="G229" s="253">
        <v>1104000</v>
      </c>
      <c r="H229" s="277">
        <v>1.4</v>
      </c>
      <c r="I229" s="277"/>
      <c r="J229" s="254"/>
      <c r="K229" s="254"/>
    </row>
    <row r="230" spans="1:13" s="294" customFormat="1" ht="17.100000000000001" customHeight="1" x14ac:dyDescent="0.25">
      <c r="A230" s="286"/>
      <c r="B230" s="287"/>
      <c r="C230" s="288"/>
      <c r="D230" s="289"/>
      <c r="E230" s="290"/>
      <c r="F230" s="290"/>
      <c r="G230" s="291"/>
      <c r="H230" s="292"/>
      <c r="I230" s="293"/>
      <c r="M230" s="443"/>
    </row>
    <row r="231" spans="1:13" ht="17.100000000000001" customHeight="1" x14ac:dyDescent="0.25">
      <c r="A231" s="427"/>
      <c r="B231" s="428"/>
      <c r="C231" s="429"/>
      <c r="D231" s="430"/>
      <c r="E231" s="431"/>
      <c r="F231" s="284"/>
      <c r="G231" s="361"/>
      <c r="H231" s="260"/>
      <c r="I231" s="277"/>
      <c r="J231" s="372"/>
      <c r="K231" s="253"/>
    </row>
    <row r="232" spans="1:13" s="352" customFormat="1" ht="17.100000000000001" customHeight="1" x14ac:dyDescent="0.25">
      <c r="A232" s="455" t="s">
        <v>563</v>
      </c>
      <c r="B232" s="456"/>
      <c r="C232" s="456"/>
      <c r="D232" s="456"/>
      <c r="E232" s="457"/>
      <c r="F232" s="426">
        <f>SUM(F204:F230)</f>
        <v>74041399</v>
      </c>
      <c r="G232" s="360"/>
      <c r="H232" s="349"/>
      <c r="I232" s="350"/>
      <c r="J232" s="373"/>
      <c r="K232" s="349"/>
      <c r="M232" s="442"/>
    </row>
    <row r="233" spans="1:13" ht="17.100000000000001" customHeight="1" x14ac:dyDescent="0.25">
      <c r="A233" s="390"/>
      <c r="B233" s="391"/>
      <c r="C233" s="390"/>
      <c r="D233" s="392"/>
      <c r="E233" s="393"/>
      <c r="F233" s="436"/>
      <c r="G233" s="359"/>
      <c r="I233" s="277"/>
      <c r="J233" s="372"/>
    </row>
    <row r="234" spans="1:13" ht="17.100000000000001" customHeight="1" x14ac:dyDescent="0.25">
      <c r="A234" s="433"/>
      <c r="B234" s="434"/>
      <c r="C234" s="433"/>
      <c r="D234" s="384"/>
      <c r="E234" s="385"/>
      <c r="F234" s="357"/>
      <c r="G234" s="359"/>
      <c r="I234" s="277"/>
      <c r="J234" s="372"/>
    </row>
    <row r="235" spans="1:13" ht="17.100000000000001" customHeight="1" x14ac:dyDescent="0.25">
      <c r="A235" s="433"/>
      <c r="B235" s="434"/>
      <c r="C235" s="433"/>
      <c r="D235" s="384"/>
      <c r="E235" s="385"/>
      <c r="F235" s="357"/>
      <c r="G235" s="359"/>
      <c r="I235" s="277"/>
      <c r="J235" s="372"/>
    </row>
    <row r="236" spans="1:13" ht="17.100000000000001" customHeight="1" x14ac:dyDescent="0.25">
      <c r="A236" s="433"/>
      <c r="B236" s="434"/>
      <c r="C236" s="433"/>
      <c r="D236" s="384"/>
      <c r="E236" s="385"/>
      <c r="F236" s="357"/>
      <c r="G236" s="359"/>
      <c r="I236" s="277"/>
      <c r="J236" s="372"/>
    </row>
    <row r="237" spans="1:13" ht="17.100000000000001" customHeight="1" x14ac:dyDescent="0.25">
      <c r="A237" s="437" t="s">
        <v>571</v>
      </c>
      <c r="B237" s="434"/>
      <c r="C237" s="433"/>
      <c r="D237" s="384"/>
      <c r="E237" s="385"/>
      <c r="F237" s="357"/>
      <c r="G237" s="359"/>
      <c r="I237" s="277"/>
      <c r="J237" s="372"/>
    </row>
    <row r="238" spans="1:13" ht="17.100000000000001" customHeight="1" x14ac:dyDescent="0.25">
      <c r="A238" s="386"/>
      <c r="B238" s="387"/>
      <c r="C238" s="386"/>
      <c r="D238" s="388"/>
      <c r="E238" s="389"/>
      <c r="F238" s="435"/>
      <c r="G238" s="359"/>
      <c r="I238" s="277"/>
      <c r="J238" s="372"/>
    </row>
    <row r="239" spans="1:13" s="352" customFormat="1" ht="18.75" customHeight="1" x14ac:dyDescent="0.25">
      <c r="A239" s="421" t="s">
        <v>543</v>
      </c>
      <c r="B239" s="438" t="s">
        <v>573</v>
      </c>
      <c r="C239" s="422"/>
      <c r="D239" s="423"/>
      <c r="E239" s="424"/>
      <c r="F239" s="425"/>
      <c r="G239" s="360"/>
      <c r="H239" s="349"/>
      <c r="I239" s="350"/>
      <c r="J239" s="373"/>
      <c r="K239" s="349"/>
      <c r="M239" s="442"/>
    </row>
    <row r="240" spans="1:13" ht="17.100000000000001" customHeight="1" x14ac:dyDescent="0.25">
      <c r="A240" s="61">
        <v>1</v>
      </c>
      <c r="B240" s="275" t="s">
        <v>544</v>
      </c>
      <c r="C240" s="61" t="s">
        <v>205</v>
      </c>
      <c r="D240" s="409">
        <v>1000</v>
      </c>
      <c r="E240" s="59">
        <v>4480</v>
      </c>
      <c r="F240" s="278">
        <f t="shared" ref="F240:F248" si="12">E240*D240</f>
        <v>4480000</v>
      </c>
      <c r="G240" s="260">
        <v>2800</v>
      </c>
      <c r="H240" s="410">
        <v>1.6</v>
      </c>
      <c r="I240" s="98"/>
      <c r="J240" s="254"/>
      <c r="K240" s="254"/>
    </row>
    <row r="241" spans="1:13" ht="17.100000000000001" customHeight="1" x14ac:dyDescent="0.25">
      <c r="A241" s="61">
        <v>2</v>
      </c>
      <c r="B241" s="275" t="s">
        <v>545</v>
      </c>
      <c r="C241" s="61" t="s">
        <v>205</v>
      </c>
      <c r="D241" s="409">
        <v>10</v>
      </c>
      <c r="E241" s="59">
        <v>21977.599999999999</v>
      </c>
      <c r="F241" s="278">
        <f t="shared" si="12"/>
        <v>219776</v>
      </c>
      <c r="G241" s="260">
        <v>13736</v>
      </c>
      <c r="H241" s="410">
        <v>1.6</v>
      </c>
      <c r="I241" s="98"/>
      <c r="J241" s="254"/>
      <c r="K241" s="254"/>
    </row>
    <row r="242" spans="1:13" ht="17.100000000000001" customHeight="1" x14ac:dyDescent="0.25">
      <c r="A242" s="61">
        <v>2</v>
      </c>
      <c r="B242" s="275" t="s">
        <v>546</v>
      </c>
      <c r="C242" s="61" t="s">
        <v>26</v>
      </c>
      <c r="D242" s="409">
        <v>60</v>
      </c>
      <c r="E242" s="59">
        <v>4160</v>
      </c>
      <c r="F242" s="278">
        <f t="shared" si="12"/>
        <v>249600</v>
      </c>
      <c r="G242" s="260">
        <v>2600</v>
      </c>
      <c r="H242" s="410">
        <v>1.6</v>
      </c>
      <c r="I242" s="98"/>
      <c r="J242" s="254"/>
      <c r="K242" s="254"/>
    </row>
    <row r="243" spans="1:13" ht="17.100000000000001" customHeight="1" x14ac:dyDescent="0.25">
      <c r="A243" s="61">
        <v>3</v>
      </c>
      <c r="B243" s="275" t="s">
        <v>547</v>
      </c>
      <c r="C243" s="61" t="s">
        <v>205</v>
      </c>
      <c r="D243" s="409">
        <v>200</v>
      </c>
      <c r="E243" s="59">
        <v>1089.6000000000001</v>
      </c>
      <c r="F243" s="278">
        <f t="shared" si="12"/>
        <v>217920.00000000003</v>
      </c>
      <c r="G243" s="260">
        <v>681</v>
      </c>
      <c r="H243" s="410">
        <v>1.6</v>
      </c>
      <c r="I243" s="98"/>
      <c r="J243" s="254"/>
      <c r="K243" s="254"/>
    </row>
    <row r="244" spans="1:13" ht="17.100000000000001" customHeight="1" x14ac:dyDescent="0.25">
      <c r="A244" s="61">
        <v>4</v>
      </c>
      <c r="B244" s="275" t="s">
        <v>548</v>
      </c>
      <c r="C244" s="61" t="s">
        <v>26</v>
      </c>
      <c r="D244" s="409">
        <v>1</v>
      </c>
      <c r="E244" s="59">
        <v>192000</v>
      </c>
      <c r="F244" s="278">
        <f t="shared" si="12"/>
        <v>192000</v>
      </c>
      <c r="G244" s="260">
        <v>120000</v>
      </c>
      <c r="H244" s="410">
        <v>1.6</v>
      </c>
      <c r="I244" s="98"/>
      <c r="J244" s="254"/>
      <c r="K244" s="254"/>
    </row>
    <row r="245" spans="1:13" ht="17.100000000000001" customHeight="1" x14ac:dyDescent="0.25">
      <c r="A245" s="61">
        <v>5</v>
      </c>
      <c r="B245" s="275" t="s">
        <v>549</v>
      </c>
      <c r="C245" s="61" t="s">
        <v>26</v>
      </c>
      <c r="D245" s="409">
        <v>5</v>
      </c>
      <c r="E245" s="59">
        <v>80</v>
      </c>
      <c r="F245" s="278">
        <f t="shared" si="12"/>
        <v>400</v>
      </c>
      <c r="G245" s="260">
        <v>50</v>
      </c>
      <c r="H245" s="410">
        <v>1.6</v>
      </c>
      <c r="I245" s="98"/>
      <c r="J245" s="254"/>
      <c r="K245" s="254"/>
    </row>
    <row r="246" spans="1:13" ht="17.100000000000001" customHeight="1" x14ac:dyDescent="0.25">
      <c r="A246" s="61">
        <v>6</v>
      </c>
      <c r="B246" s="275" t="s">
        <v>550</v>
      </c>
      <c r="C246" s="61" t="s">
        <v>26</v>
      </c>
      <c r="D246" s="409">
        <v>5</v>
      </c>
      <c r="E246" s="59">
        <v>160</v>
      </c>
      <c r="F246" s="278">
        <f t="shared" si="12"/>
        <v>800</v>
      </c>
      <c r="G246" s="260">
        <v>100</v>
      </c>
      <c r="H246" s="410">
        <v>1.6</v>
      </c>
      <c r="I246" s="98"/>
      <c r="J246" s="254"/>
      <c r="K246" s="254"/>
    </row>
    <row r="247" spans="1:13" ht="17.100000000000001" customHeight="1" x14ac:dyDescent="0.25">
      <c r="A247" s="61">
        <v>7</v>
      </c>
      <c r="B247" s="275" t="s">
        <v>551</v>
      </c>
      <c r="C247" s="61" t="s">
        <v>26</v>
      </c>
      <c r="D247" s="409">
        <v>50</v>
      </c>
      <c r="E247" s="59">
        <v>2916.8</v>
      </c>
      <c r="F247" s="278">
        <f t="shared" si="12"/>
        <v>145840</v>
      </c>
      <c r="G247" s="260">
        <v>1823</v>
      </c>
      <c r="H247" s="410">
        <v>1.6</v>
      </c>
      <c r="I247" s="98"/>
      <c r="J247" s="254"/>
      <c r="K247" s="254"/>
    </row>
    <row r="248" spans="1:13" ht="17.100000000000001" customHeight="1" x14ac:dyDescent="0.25">
      <c r="A248" s="61">
        <v>8</v>
      </c>
      <c r="B248" s="275" t="s">
        <v>552</v>
      </c>
      <c r="C248" s="61" t="s">
        <v>26</v>
      </c>
      <c r="D248" s="409">
        <v>4</v>
      </c>
      <c r="E248" s="59">
        <v>6504</v>
      </c>
      <c r="F248" s="278">
        <f t="shared" si="12"/>
        <v>26016</v>
      </c>
      <c r="G248" s="260">
        <v>4065</v>
      </c>
      <c r="H248" s="410">
        <v>1.6</v>
      </c>
      <c r="I248" s="98"/>
      <c r="J248" s="254"/>
      <c r="K248" s="254"/>
    </row>
    <row r="249" spans="1:13" ht="17.100000000000001" customHeight="1" x14ac:dyDescent="0.25">
      <c r="A249" s="61"/>
      <c r="B249" s="275"/>
      <c r="C249" s="61"/>
      <c r="D249" s="409"/>
      <c r="E249" s="59"/>
      <c r="F249" s="278"/>
      <c r="G249" s="260"/>
      <c r="H249" s="410">
        <v>1.6</v>
      </c>
      <c r="I249" s="98"/>
      <c r="J249" s="254"/>
      <c r="K249" s="254"/>
    </row>
    <row r="250" spans="1:13" s="272" customFormat="1" ht="17.100000000000001" customHeight="1" x14ac:dyDescent="0.25">
      <c r="A250" s="267"/>
      <c r="B250" s="273" t="s">
        <v>553</v>
      </c>
      <c r="C250" s="61" t="s">
        <v>458</v>
      </c>
      <c r="D250" s="409">
        <v>1</v>
      </c>
      <c r="E250" s="59">
        <f>2776000+100000</f>
        <v>2876000</v>
      </c>
      <c r="F250" s="276">
        <f>E250*D250</f>
        <v>2876000</v>
      </c>
      <c r="G250" s="271">
        <v>1735000</v>
      </c>
      <c r="H250" s="410">
        <v>1.6</v>
      </c>
      <c r="I250" s="411"/>
      <c r="M250" s="441"/>
    </row>
    <row r="251" spans="1:13" s="272" customFormat="1" ht="17.100000000000001" customHeight="1" x14ac:dyDescent="0.25">
      <c r="A251" s="267"/>
      <c r="B251" s="273"/>
      <c r="C251" s="61"/>
      <c r="D251" s="409"/>
      <c r="E251" s="59"/>
      <c r="F251" s="276"/>
      <c r="G251" s="271"/>
      <c r="H251" s="410"/>
      <c r="I251" s="411"/>
      <c r="M251" s="441"/>
    </row>
    <row r="252" spans="1:13" s="272" customFormat="1" ht="17.100000000000001" customHeight="1" x14ac:dyDescent="0.25">
      <c r="A252" s="267"/>
      <c r="B252" s="273"/>
      <c r="C252" s="61"/>
      <c r="D252" s="409"/>
      <c r="E252" s="59"/>
      <c r="F252" s="276"/>
      <c r="G252" s="271"/>
      <c r="H252" s="410"/>
      <c r="I252" s="411"/>
      <c r="M252" s="441"/>
    </row>
    <row r="253" spans="1:13" ht="32.25" customHeight="1" x14ac:dyDescent="0.25">
      <c r="A253" s="61"/>
      <c r="B253" s="310" t="s">
        <v>542</v>
      </c>
      <c r="C253" s="61" t="s">
        <v>534</v>
      </c>
      <c r="D253" s="61">
        <v>1</v>
      </c>
      <c r="E253" s="59">
        <f>+G253*0.06</f>
        <v>63039833.871926419</v>
      </c>
      <c r="F253" s="276">
        <f>D253*E253</f>
        <v>63039833.871926419</v>
      </c>
      <c r="G253" s="252">
        <v>1050663897.8654404</v>
      </c>
      <c r="H253" s="277"/>
      <c r="I253" s="277"/>
      <c r="J253" s="254"/>
      <c r="K253" s="254"/>
    </row>
    <row r="254" spans="1:13" s="272" customFormat="1" ht="17.100000000000001" customHeight="1" x14ac:dyDescent="0.25">
      <c r="A254" s="267"/>
      <c r="B254" s="273"/>
      <c r="C254" s="61"/>
      <c r="D254" s="409"/>
      <c r="E254" s="59"/>
      <c r="F254" s="276"/>
      <c r="G254" s="271"/>
      <c r="H254" s="410"/>
      <c r="I254" s="411"/>
      <c r="M254" s="441"/>
    </row>
    <row r="255" spans="1:13" ht="17.100000000000001" customHeight="1" x14ac:dyDescent="0.25">
      <c r="A255" s="280"/>
      <c r="B255" s="295"/>
      <c r="C255" s="296"/>
      <c r="D255" s="297"/>
      <c r="E255" s="284"/>
      <c r="F255" s="412"/>
      <c r="G255" s="260"/>
      <c r="H255" s="413"/>
      <c r="I255" s="414"/>
      <c r="J255" s="254"/>
      <c r="K255" s="254"/>
    </row>
    <row r="256" spans="1:13" s="352" customFormat="1" ht="17.100000000000001" customHeight="1" x14ac:dyDescent="0.25">
      <c r="A256" s="455" t="s">
        <v>564</v>
      </c>
      <c r="B256" s="456"/>
      <c r="C256" s="456"/>
      <c r="D256" s="456"/>
      <c r="E256" s="457"/>
      <c r="F256" s="426">
        <f>SUM(F240:F255)</f>
        <v>71448185.871926427</v>
      </c>
      <c r="G256" s="360"/>
      <c r="H256" s="349"/>
      <c r="I256" s="350"/>
      <c r="J256" s="373"/>
      <c r="K256" s="349"/>
      <c r="M256" s="442"/>
    </row>
    <row r="257" spans="1:13" s="306" customFormat="1" ht="17.100000000000001" customHeight="1" x14ac:dyDescent="0.25">
      <c r="A257" s="298"/>
      <c r="B257" s="415"/>
      <c r="C257" s="300"/>
      <c r="D257" s="301"/>
      <c r="E257" s="302"/>
      <c r="F257" s="416"/>
      <c r="G257" s="303"/>
      <c r="H257" s="417"/>
      <c r="I257" s="418"/>
      <c r="M257" s="444"/>
    </row>
    <row r="258" spans="1:13" s="352" customFormat="1" ht="49.5" customHeight="1" x14ac:dyDescent="0.25">
      <c r="A258" s="421" t="s">
        <v>554</v>
      </c>
      <c r="B258" s="402" t="s">
        <v>555</v>
      </c>
      <c r="C258" s="422"/>
      <c r="D258" s="423"/>
      <c r="E258" s="424"/>
      <c r="F258" s="425"/>
      <c r="G258" s="360"/>
      <c r="H258" s="349"/>
      <c r="I258" s="350"/>
      <c r="J258" s="373"/>
      <c r="K258" s="349"/>
      <c r="M258" s="442"/>
    </row>
    <row r="259" spans="1:13" ht="17.100000000000001" customHeight="1" x14ac:dyDescent="0.25">
      <c r="A259" s="419"/>
      <c r="B259" s="275" t="s">
        <v>557</v>
      </c>
      <c r="C259" s="61">
        <v>32</v>
      </c>
      <c r="D259" s="337">
        <v>210</v>
      </c>
      <c r="E259" s="59">
        <v>715</v>
      </c>
      <c r="F259" s="278">
        <f>+C259*D259*E259</f>
        <v>4804800</v>
      </c>
      <c r="H259" s="277"/>
      <c r="I259" s="277"/>
      <c r="J259" s="254"/>
      <c r="K259" s="254"/>
    </row>
    <row r="260" spans="1:13" ht="17.100000000000001" customHeight="1" x14ac:dyDescent="0.25">
      <c r="A260" s="419"/>
      <c r="B260" s="275"/>
      <c r="C260" s="61"/>
      <c r="D260" s="337"/>
      <c r="E260" s="59"/>
      <c r="F260" s="278"/>
      <c r="G260" s="420"/>
      <c r="H260" s="277"/>
      <c r="I260" s="277"/>
      <c r="J260" s="254"/>
      <c r="K260" s="254"/>
    </row>
    <row r="261" spans="1:13" ht="17.100000000000001" customHeight="1" x14ac:dyDescent="0.25">
      <c r="A261" s="419"/>
      <c r="B261" s="275" t="s">
        <v>558</v>
      </c>
      <c r="C261" s="61" t="s">
        <v>204</v>
      </c>
      <c r="D261" s="338">
        <v>1</v>
      </c>
      <c r="E261" s="59">
        <v>960000</v>
      </c>
      <c r="F261" s="278">
        <f>+D261*E261</f>
        <v>960000</v>
      </c>
      <c r="G261" s="253" t="s">
        <v>559</v>
      </c>
      <c r="H261" s="277"/>
      <c r="I261" s="277"/>
      <c r="J261" s="254"/>
      <c r="K261" s="254"/>
    </row>
    <row r="262" spans="1:13" ht="17.100000000000001" customHeight="1" x14ac:dyDescent="0.25">
      <c r="A262" s="61"/>
      <c r="B262" s="310" t="s">
        <v>560</v>
      </c>
      <c r="C262" s="61">
        <v>32</v>
      </c>
      <c r="D262" s="337">
        <v>1</v>
      </c>
      <c r="E262" s="59">
        <v>62000</v>
      </c>
      <c r="F262" s="278">
        <f>+C262*D262*E262</f>
        <v>1984000</v>
      </c>
      <c r="G262" s="253">
        <v>43800</v>
      </c>
      <c r="H262" s="277">
        <v>1.4159999999999999</v>
      </c>
      <c r="I262" s="277"/>
      <c r="J262" s="254"/>
      <c r="K262" s="254"/>
    </row>
    <row r="263" spans="1:13" ht="17.100000000000001" customHeight="1" x14ac:dyDescent="0.25">
      <c r="A263" s="61"/>
      <c r="B263" s="275" t="s">
        <v>561</v>
      </c>
      <c r="C263" s="61" t="s">
        <v>204</v>
      </c>
      <c r="D263" s="337">
        <v>1</v>
      </c>
      <c r="E263" s="59">
        <v>400000</v>
      </c>
      <c r="F263" s="278">
        <f>+D263*E263</f>
        <v>400000</v>
      </c>
      <c r="G263" s="253" t="s">
        <v>559</v>
      </c>
      <c r="H263" s="277"/>
      <c r="I263" s="277"/>
      <c r="J263" s="254"/>
      <c r="K263" s="254"/>
    </row>
    <row r="264" spans="1:13" ht="17.100000000000001" customHeight="1" x14ac:dyDescent="0.25">
      <c r="A264" s="61"/>
      <c r="B264" s="275"/>
      <c r="C264" s="61"/>
      <c r="D264" s="337"/>
      <c r="E264" s="59"/>
      <c r="F264" s="278"/>
      <c r="H264" s="277"/>
      <c r="I264" s="277"/>
      <c r="J264" s="254"/>
      <c r="K264" s="254"/>
    </row>
    <row r="265" spans="1:13" ht="17.100000000000001" customHeight="1" x14ac:dyDescent="0.25">
      <c r="A265" s="61"/>
      <c r="B265" s="275" t="s">
        <v>567</v>
      </c>
      <c r="C265" s="61"/>
      <c r="D265" s="337"/>
      <c r="E265" s="59"/>
      <c r="F265" s="278"/>
      <c r="H265" s="277"/>
      <c r="I265" s="277"/>
      <c r="J265" s="254"/>
      <c r="K265" s="254"/>
    </row>
    <row r="266" spans="1:13" ht="17.100000000000001" customHeight="1" x14ac:dyDescent="0.25">
      <c r="A266" s="61"/>
      <c r="B266" s="275"/>
      <c r="C266" s="61"/>
      <c r="D266" s="337"/>
      <c r="E266" s="59"/>
      <c r="F266" s="278"/>
      <c r="H266" s="277"/>
      <c r="I266" s="277"/>
      <c r="J266" s="254"/>
      <c r="K266" s="254"/>
    </row>
    <row r="267" spans="1:13" s="352" customFormat="1" ht="17.100000000000001" customHeight="1" x14ac:dyDescent="0.25">
      <c r="A267" s="458" t="s">
        <v>565</v>
      </c>
      <c r="B267" s="458"/>
      <c r="C267" s="458"/>
      <c r="D267" s="458"/>
      <c r="E267" s="458"/>
      <c r="F267" s="426">
        <f>SUM(F259:F263)</f>
        <v>8148800</v>
      </c>
      <c r="G267" s="360"/>
      <c r="H267" s="349"/>
      <c r="I267" s="350"/>
      <c r="J267" s="373"/>
      <c r="K267" s="349"/>
      <c r="M267" s="442"/>
    </row>
    <row r="268" spans="1:13" ht="17.100000000000001" customHeight="1" x14ac:dyDescent="0.25">
      <c r="A268" s="61"/>
      <c r="B268" s="275"/>
      <c r="C268" s="61"/>
      <c r="D268" s="337"/>
      <c r="E268" s="59"/>
      <c r="F268" s="278"/>
      <c r="H268" s="277"/>
      <c r="I268" s="277"/>
      <c r="J268" s="254"/>
      <c r="K268" s="254"/>
    </row>
    <row r="269" spans="1:13" s="352" customFormat="1" ht="17.100000000000001" customHeight="1" x14ac:dyDescent="0.25">
      <c r="A269" s="344"/>
      <c r="B269" s="345"/>
      <c r="C269" s="346"/>
      <c r="D269" s="347"/>
      <c r="E269" s="348"/>
      <c r="F269" s="348"/>
      <c r="G269" s="360"/>
      <c r="H269" s="349"/>
      <c r="I269" s="350"/>
      <c r="J269" s="373"/>
      <c r="K269" s="349"/>
      <c r="M269" s="442"/>
    </row>
    <row r="270" spans="1:13" s="100" customFormat="1" ht="17.100000000000001" customHeight="1" x14ac:dyDescent="0.25">
      <c r="A270" s="453" t="s">
        <v>566</v>
      </c>
      <c r="B270" s="453"/>
      <c r="C270" s="453"/>
      <c r="D270" s="453"/>
      <c r="E270" s="453"/>
      <c r="F270" s="324">
        <f>+F267+F256+F232+F201</f>
        <v>1277957624.9373665</v>
      </c>
      <c r="G270" s="398"/>
      <c r="H270" s="260"/>
      <c r="J270" s="369"/>
      <c r="K270" s="264"/>
      <c r="M270" s="161"/>
    </row>
    <row r="271" spans="1:13" s="100" customFormat="1" ht="17.100000000000001" customHeight="1" x14ac:dyDescent="0.25">
      <c r="A271" s="453" t="s">
        <v>475</v>
      </c>
      <c r="B271" s="453"/>
      <c r="C271" s="453"/>
      <c r="D271" s="453"/>
      <c r="E271" s="453"/>
      <c r="F271" s="325">
        <f>+F270*0.18</f>
        <v>230032372.48872596</v>
      </c>
      <c r="G271" s="399"/>
      <c r="H271" s="260"/>
      <c r="J271" s="369"/>
      <c r="K271" s="264"/>
      <c r="M271" s="161"/>
    </row>
    <row r="272" spans="1:13" s="100" customFormat="1" ht="17.100000000000001" customHeight="1" x14ac:dyDescent="0.25">
      <c r="A272" s="453" t="s">
        <v>476</v>
      </c>
      <c r="B272" s="453"/>
      <c r="C272" s="453"/>
      <c r="D272" s="453"/>
      <c r="E272" s="453"/>
      <c r="F272" s="324">
        <f>SUM(F270:F271)</f>
        <v>1507989997.4260924</v>
      </c>
      <c r="G272" s="400"/>
      <c r="H272" s="260"/>
      <c r="J272" s="369"/>
      <c r="K272" s="264"/>
      <c r="M272" s="161"/>
    </row>
    <row r="273" spans="1:13" s="100" customFormat="1" ht="11.25" customHeight="1" x14ac:dyDescent="0.25">
      <c r="D273" s="161"/>
      <c r="E273" s="260"/>
      <c r="F273" s="264"/>
      <c r="G273" s="260"/>
      <c r="H273" s="260"/>
      <c r="J273" s="369"/>
      <c r="K273" s="264"/>
      <c r="M273" s="161"/>
    </row>
    <row r="274" spans="1:13" s="100" customFormat="1" ht="17.100000000000001" customHeight="1" x14ac:dyDescent="0.25">
      <c r="A274" s="395" t="s">
        <v>477</v>
      </c>
      <c r="D274" s="161"/>
      <c r="E274" s="260"/>
      <c r="F274" s="264"/>
      <c r="G274" s="260"/>
      <c r="H274" s="260"/>
      <c r="J274" s="369"/>
      <c r="K274" s="264"/>
      <c r="M274" s="161"/>
    </row>
    <row r="275" spans="1:13" s="100" customFormat="1" ht="17.100000000000001" customHeight="1" x14ac:dyDescent="0.25">
      <c r="A275" s="125" t="s">
        <v>574</v>
      </c>
      <c r="D275" s="161"/>
      <c r="E275" s="260"/>
      <c r="F275" s="264"/>
      <c r="G275" s="260"/>
      <c r="H275" s="260"/>
      <c r="J275" s="369"/>
      <c r="K275" s="264"/>
      <c r="M275" s="161"/>
    </row>
    <row r="276" spans="1:13" s="100" customFormat="1" ht="17.100000000000001" customHeight="1" x14ac:dyDescent="0.25">
      <c r="D276" s="161"/>
      <c r="E276" s="260"/>
      <c r="F276" s="264"/>
      <c r="G276" s="260"/>
      <c r="H276" s="260"/>
      <c r="J276" s="369"/>
      <c r="K276" s="264"/>
      <c r="M276" s="161"/>
    </row>
    <row r="277" spans="1:13" s="100" customFormat="1" ht="17.100000000000001" customHeight="1" x14ac:dyDescent="0.25">
      <c r="A277" s="327" t="s">
        <v>478</v>
      </c>
      <c r="D277" s="161"/>
      <c r="E277" s="260"/>
      <c r="F277" s="264"/>
      <c r="G277" s="260"/>
      <c r="H277" s="260"/>
      <c r="J277" s="369"/>
      <c r="K277" s="264"/>
      <c r="M277" s="161"/>
    </row>
    <row r="278" spans="1:13" s="100" customFormat="1" ht="17.100000000000001" customHeight="1" x14ac:dyDescent="0.25">
      <c r="D278" s="161"/>
      <c r="E278" s="260"/>
      <c r="F278" s="264"/>
      <c r="G278" s="260"/>
      <c r="H278" s="260"/>
      <c r="J278" s="369"/>
      <c r="K278" s="264"/>
      <c r="M278" s="161"/>
    </row>
    <row r="279" spans="1:13" s="100" customFormat="1" ht="17.100000000000001" customHeight="1" x14ac:dyDescent="0.25">
      <c r="D279" s="161"/>
      <c r="E279" s="260"/>
      <c r="F279" s="264"/>
      <c r="G279" s="260"/>
      <c r="H279" s="260"/>
      <c r="J279" s="369"/>
      <c r="K279" s="264"/>
      <c r="M279" s="161"/>
    </row>
    <row r="280" spans="1:13" ht="17.100000000000001" customHeight="1" x14ac:dyDescent="0.25"/>
    <row r="281" spans="1:13" ht="17.100000000000001" customHeight="1" x14ac:dyDescent="0.25"/>
    <row r="282" spans="1:13" ht="17.100000000000001" customHeight="1" x14ac:dyDescent="0.25"/>
    <row r="283" spans="1:13" ht="17.100000000000001" customHeight="1" x14ac:dyDescent="0.25"/>
    <row r="284" spans="1:13" ht="17.100000000000001" customHeight="1" x14ac:dyDescent="0.25"/>
    <row r="285" spans="1:13" ht="17.100000000000001" customHeight="1" x14ac:dyDescent="0.25"/>
    <row r="286" spans="1:13" ht="17.100000000000001" customHeight="1" x14ac:dyDescent="0.25"/>
    <row r="287" spans="1:13" s="328" customFormat="1" ht="17.100000000000001" customHeight="1" x14ac:dyDescent="0.25">
      <c r="B287" s="254"/>
      <c r="C287" s="254"/>
      <c r="D287" s="285"/>
      <c r="E287" s="253"/>
      <c r="F287" s="329"/>
      <c r="G287" s="253"/>
      <c r="H287" s="253"/>
      <c r="I287" s="254"/>
      <c r="J287" s="368"/>
      <c r="K287" s="329"/>
      <c r="L287" s="254"/>
      <c r="M287" s="440"/>
    </row>
    <row r="288" spans="1:13" s="328" customFormat="1" ht="17.100000000000001" customHeight="1" x14ac:dyDescent="0.25">
      <c r="B288" s="254"/>
      <c r="C288" s="254"/>
      <c r="D288" s="285"/>
      <c r="E288" s="253"/>
      <c r="F288" s="329"/>
      <c r="G288" s="253"/>
      <c r="H288" s="253"/>
      <c r="I288" s="254"/>
      <c r="J288" s="368"/>
      <c r="K288" s="329"/>
      <c r="L288" s="254"/>
      <c r="M288" s="440"/>
    </row>
    <row r="289" spans="2:13" s="328" customFormat="1" ht="17.100000000000001" customHeight="1" x14ac:dyDescent="0.25">
      <c r="B289" s="254"/>
      <c r="C289" s="254"/>
      <c r="D289" s="285"/>
      <c r="E289" s="253"/>
      <c r="F289" s="329"/>
      <c r="G289" s="253"/>
      <c r="H289" s="253"/>
      <c r="I289" s="254"/>
      <c r="J289" s="368"/>
      <c r="K289" s="329"/>
      <c r="L289" s="254"/>
      <c r="M289" s="440"/>
    </row>
    <row r="290" spans="2:13" s="328" customFormat="1" ht="17.100000000000001" customHeight="1" x14ac:dyDescent="0.25">
      <c r="B290" s="254"/>
      <c r="C290" s="254"/>
      <c r="D290" s="285"/>
      <c r="E290" s="253"/>
      <c r="F290" s="329"/>
      <c r="G290" s="253"/>
      <c r="H290" s="253"/>
      <c r="I290" s="254"/>
      <c r="J290" s="368"/>
      <c r="K290" s="329"/>
      <c r="L290" s="254"/>
      <c r="M290" s="440"/>
    </row>
    <row r="291" spans="2:13" s="328" customFormat="1" ht="17.100000000000001" customHeight="1" x14ac:dyDescent="0.25">
      <c r="B291" s="254"/>
      <c r="C291" s="254"/>
      <c r="D291" s="285"/>
      <c r="E291" s="253"/>
      <c r="F291" s="329"/>
      <c r="G291" s="253"/>
      <c r="H291" s="253"/>
      <c r="I291" s="254"/>
      <c r="J291" s="368"/>
      <c r="K291" s="329"/>
      <c r="L291" s="254"/>
      <c r="M291" s="440"/>
    </row>
    <row r="292" spans="2:13" s="328" customFormat="1" ht="17.100000000000001" customHeight="1" x14ac:dyDescent="0.25">
      <c r="B292" s="254"/>
      <c r="C292" s="254"/>
      <c r="D292" s="285"/>
      <c r="E292" s="253"/>
      <c r="F292" s="329"/>
      <c r="G292" s="253"/>
      <c r="H292" s="253"/>
      <c r="I292" s="254"/>
      <c r="J292" s="368"/>
      <c r="K292" s="329"/>
      <c r="L292" s="254"/>
      <c r="M292" s="440"/>
    </row>
    <row r="293" spans="2:13" s="328" customFormat="1" ht="17.100000000000001" customHeight="1" x14ac:dyDescent="0.25">
      <c r="B293" s="254"/>
      <c r="C293" s="254"/>
      <c r="D293" s="285"/>
      <c r="E293" s="253"/>
      <c r="F293" s="329"/>
      <c r="G293" s="253"/>
      <c r="H293" s="253"/>
      <c r="I293" s="254"/>
      <c r="J293" s="368"/>
      <c r="K293" s="329"/>
      <c r="L293" s="254"/>
      <c r="M293" s="440"/>
    </row>
    <row r="294" spans="2:13" s="328" customFormat="1" ht="17.100000000000001" customHeight="1" x14ac:dyDescent="0.25">
      <c r="B294" s="254"/>
      <c r="C294" s="254"/>
      <c r="D294" s="285"/>
      <c r="E294" s="253"/>
      <c r="F294" s="329"/>
      <c r="G294" s="253"/>
      <c r="H294" s="253"/>
      <c r="I294" s="254"/>
      <c r="J294" s="368"/>
      <c r="K294" s="329"/>
      <c r="L294" s="254"/>
      <c r="M294" s="440"/>
    </row>
    <row r="295" spans="2:13" s="328" customFormat="1" ht="17.100000000000001" customHeight="1" x14ac:dyDescent="0.25">
      <c r="B295" s="254"/>
      <c r="C295" s="254"/>
      <c r="D295" s="285"/>
      <c r="E295" s="253"/>
      <c r="F295" s="329"/>
      <c r="G295" s="253"/>
      <c r="H295" s="253"/>
      <c r="I295" s="254"/>
      <c r="J295" s="368"/>
      <c r="K295" s="329"/>
      <c r="L295" s="254"/>
      <c r="M295" s="440"/>
    </row>
    <row r="296" spans="2:13" s="328" customFormat="1" ht="17.100000000000001" customHeight="1" x14ac:dyDescent="0.25">
      <c r="B296" s="254"/>
      <c r="C296" s="254"/>
      <c r="D296" s="285"/>
      <c r="E296" s="253"/>
      <c r="F296" s="329"/>
      <c r="G296" s="253"/>
      <c r="H296" s="253"/>
      <c r="I296" s="254"/>
      <c r="J296" s="368"/>
      <c r="K296" s="329"/>
      <c r="L296" s="254"/>
      <c r="M296" s="440"/>
    </row>
    <row r="297" spans="2:13" s="328" customFormat="1" ht="17.100000000000001" customHeight="1" x14ac:dyDescent="0.25">
      <c r="B297" s="254"/>
      <c r="C297" s="254"/>
      <c r="D297" s="285"/>
      <c r="E297" s="253"/>
      <c r="F297" s="329"/>
      <c r="G297" s="253"/>
      <c r="H297" s="253"/>
      <c r="I297" s="254"/>
      <c r="J297" s="368"/>
      <c r="K297" s="329"/>
      <c r="L297" s="254"/>
      <c r="M297" s="440"/>
    </row>
    <row r="298" spans="2:13" s="328" customFormat="1" ht="17.100000000000001" customHeight="1" x14ac:dyDescent="0.25">
      <c r="B298" s="254"/>
      <c r="C298" s="254"/>
      <c r="D298" s="285"/>
      <c r="E298" s="253"/>
      <c r="F298" s="329"/>
      <c r="G298" s="253"/>
      <c r="H298" s="253"/>
      <c r="I298" s="254"/>
      <c r="J298" s="368"/>
      <c r="K298" s="329"/>
      <c r="L298" s="254"/>
      <c r="M298" s="440"/>
    </row>
    <row r="299" spans="2:13" s="328" customFormat="1" ht="17.100000000000001" customHeight="1" x14ac:dyDescent="0.25">
      <c r="B299" s="254"/>
      <c r="C299" s="254"/>
      <c r="D299" s="285"/>
      <c r="E299" s="253"/>
      <c r="F299" s="329"/>
      <c r="G299" s="253"/>
      <c r="H299" s="253"/>
      <c r="I299" s="254"/>
      <c r="J299" s="368"/>
      <c r="K299" s="329"/>
      <c r="L299" s="254"/>
      <c r="M299" s="440"/>
    </row>
    <row r="300" spans="2:13" s="328" customFormat="1" ht="17.100000000000001" customHeight="1" x14ac:dyDescent="0.25">
      <c r="B300" s="254"/>
      <c r="C300" s="254"/>
      <c r="D300" s="285"/>
      <c r="E300" s="253"/>
      <c r="F300" s="329"/>
      <c r="G300" s="253"/>
      <c r="H300" s="253"/>
      <c r="I300" s="254"/>
      <c r="J300" s="368"/>
      <c r="K300" s="329"/>
      <c r="L300" s="254"/>
      <c r="M300" s="440"/>
    </row>
    <row r="301" spans="2:13" s="328" customFormat="1" ht="17.100000000000001" customHeight="1" x14ac:dyDescent="0.25">
      <c r="B301" s="254"/>
      <c r="C301" s="254"/>
      <c r="D301" s="285"/>
      <c r="E301" s="253"/>
      <c r="F301" s="329"/>
      <c r="G301" s="253"/>
      <c r="H301" s="253"/>
      <c r="I301" s="254"/>
      <c r="J301" s="368"/>
      <c r="K301" s="329"/>
      <c r="L301" s="254"/>
      <c r="M301" s="440"/>
    </row>
    <row r="302" spans="2:13" s="328" customFormat="1" ht="17.100000000000001" customHeight="1" x14ac:dyDescent="0.25">
      <c r="B302" s="254"/>
      <c r="C302" s="254"/>
      <c r="D302" s="285"/>
      <c r="E302" s="253"/>
      <c r="F302" s="329"/>
      <c r="G302" s="253"/>
      <c r="H302" s="253"/>
      <c r="I302" s="254"/>
      <c r="J302" s="368"/>
      <c r="K302" s="329"/>
      <c r="L302" s="254"/>
      <c r="M302" s="440"/>
    </row>
    <row r="303" spans="2:13" s="328" customFormat="1" ht="17.100000000000001" customHeight="1" x14ac:dyDescent="0.25">
      <c r="B303" s="254"/>
      <c r="C303" s="254"/>
      <c r="D303" s="285"/>
      <c r="E303" s="253"/>
      <c r="F303" s="329"/>
      <c r="G303" s="253"/>
      <c r="H303" s="253"/>
      <c r="I303" s="254"/>
      <c r="J303" s="368"/>
      <c r="K303" s="329"/>
      <c r="L303" s="254"/>
      <c r="M303" s="440"/>
    </row>
    <row r="304" spans="2:13" s="328" customFormat="1" ht="17.100000000000001" customHeight="1" x14ac:dyDescent="0.25">
      <c r="B304" s="254"/>
      <c r="C304" s="254"/>
      <c r="D304" s="285"/>
      <c r="E304" s="253"/>
      <c r="F304" s="329"/>
      <c r="G304" s="253"/>
      <c r="H304" s="253"/>
      <c r="I304" s="254"/>
      <c r="J304" s="368"/>
      <c r="K304" s="329"/>
      <c r="L304" s="254"/>
      <c r="M304" s="440"/>
    </row>
    <row r="305" spans="2:13" s="328" customFormat="1" ht="17.100000000000001" customHeight="1" x14ac:dyDescent="0.25">
      <c r="B305" s="254"/>
      <c r="C305" s="254"/>
      <c r="D305" s="285"/>
      <c r="E305" s="253"/>
      <c r="F305" s="329"/>
      <c r="G305" s="253"/>
      <c r="H305" s="253"/>
      <c r="I305" s="254"/>
      <c r="J305" s="368"/>
      <c r="K305" s="329"/>
      <c r="L305" s="254"/>
      <c r="M305" s="440"/>
    </row>
  </sheetData>
  <mergeCells count="8">
    <mergeCell ref="A270:E270"/>
    <mergeCell ref="A271:E271"/>
    <mergeCell ref="A272:E272"/>
    <mergeCell ref="E11:F11"/>
    <mergeCell ref="A201:E201"/>
    <mergeCell ref="A232:E232"/>
    <mergeCell ref="A256:E256"/>
    <mergeCell ref="A267:E267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8" orientation="portrait" r:id="rId1"/>
  <rowBreaks count="4" manualBreakCount="4">
    <brk id="52" max="5" man="1"/>
    <brk id="110" max="5" man="1"/>
    <brk id="173" max="5" man="1"/>
    <brk id="233" max="5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50AFE-B329-4E1C-B0A0-2174191A05A0}">
  <sheetPr>
    <tabColor rgb="FF00B0F0"/>
  </sheetPr>
  <dimension ref="A1:L364"/>
  <sheetViews>
    <sheetView tabSelected="1" zoomScaleNormal="100" workbookViewId="0">
      <selection activeCell="I277" sqref="I277"/>
    </sheetView>
  </sheetViews>
  <sheetFormatPr baseColWidth="10" defaultColWidth="9.140625" defaultRowHeight="18.75" x14ac:dyDescent="0.3"/>
  <cols>
    <col min="1" max="1" width="6.85546875" style="640" customWidth="1"/>
    <col min="2" max="2" width="81.85546875" style="641" customWidth="1"/>
    <col min="3" max="3" width="7.85546875" style="526" customWidth="1"/>
    <col min="4" max="4" width="13.28515625" style="470" customWidth="1"/>
    <col min="5" max="5" width="17.28515625" style="471" customWidth="1"/>
    <col min="6" max="6" width="29.42578125" style="481" customWidth="1"/>
    <col min="7" max="7" width="11.5703125" style="472" bestFit="1" customWidth="1"/>
    <col min="8" max="9" width="12.140625" style="472" bestFit="1" customWidth="1"/>
    <col min="10" max="244" width="9.140625" style="472"/>
    <col min="245" max="245" width="8.42578125" style="472" customWidth="1"/>
    <col min="246" max="246" width="54.7109375" style="472" customWidth="1"/>
    <col min="247" max="247" width="7.85546875" style="472" customWidth="1"/>
    <col min="248" max="248" width="10" style="472" customWidth="1"/>
    <col min="249" max="249" width="20.5703125" style="472" customWidth="1"/>
    <col min="250" max="250" width="15.7109375" style="472" bestFit="1" customWidth="1"/>
    <col min="251" max="251" width="14.5703125" style="472" bestFit="1" customWidth="1"/>
    <col min="252" max="500" width="9.140625" style="472"/>
    <col min="501" max="501" width="8.42578125" style="472" customWidth="1"/>
    <col min="502" max="502" width="54.7109375" style="472" customWidth="1"/>
    <col min="503" max="503" width="7.85546875" style="472" customWidth="1"/>
    <col min="504" max="504" width="10" style="472" customWidth="1"/>
    <col min="505" max="505" width="20.5703125" style="472" customWidth="1"/>
    <col min="506" max="506" width="15.7109375" style="472" bestFit="1" customWidth="1"/>
    <col min="507" max="507" width="14.5703125" style="472" bestFit="1" customWidth="1"/>
    <col min="508" max="756" width="9.140625" style="472"/>
    <col min="757" max="757" width="8.42578125" style="472" customWidth="1"/>
    <col min="758" max="758" width="54.7109375" style="472" customWidth="1"/>
    <col min="759" max="759" width="7.85546875" style="472" customWidth="1"/>
    <col min="760" max="760" width="10" style="472" customWidth="1"/>
    <col min="761" max="761" width="20.5703125" style="472" customWidth="1"/>
    <col min="762" max="762" width="15.7109375" style="472" bestFit="1" customWidth="1"/>
    <col min="763" max="763" width="14.5703125" style="472" bestFit="1" customWidth="1"/>
    <col min="764" max="1012" width="9.140625" style="472"/>
    <col min="1013" max="1013" width="8.42578125" style="472" customWidth="1"/>
    <col min="1014" max="1014" width="54.7109375" style="472" customWidth="1"/>
    <col min="1015" max="1015" width="7.85546875" style="472" customWidth="1"/>
    <col min="1016" max="1016" width="10" style="472" customWidth="1"/>
    <col min="1017" max="1017" width="20.5703125" style="472" customWidth="1"/>
    <col min="1018" max="1018" width="15.7109375" style="472" bestFit="1" customWidth="1"/>
    <col min="1019" max="1019" width="14.5703125" style="472" bestFit="1" customWidth="1"/>
    <col min="1020" max="1268" width="9.140625" style="472"/>
    <col min="1269" max="1269" width="8.42578125" style="472" customWidth="1"/>
    <col min="1270" max="1270" width="54.7109375" style="472" customWidth="1"/>
    <col min="1271" max="1271" width="7.85546875" style="472" customWidth="1"/>
    <col min="1272" max="1272" width="10" style="472" customWidth="1"/>
    <col min="1273" max="1273" width="20.5703125" style="472" customWidth="1"/>
    <col min="1274" max="1274" width="15.7109375" style="472" bestFit="1" customWidth="1"/>
    <col min="1275" max="1275" width="14.5703125" style="472" bestFit="1" customWidth="1"/>
    <col min="1276" max="1524" width="9.140625" style="472"/>
    <col min="1525" max="1525" width="8.42578125" style="472" customWidth="1"/>
    <col min="1526" max="1526" width="54.7109375" style="472" customWidth="1"/>
    <col min="1527" max="1527" width="7.85546875" style="472" customWidth="1"/>
    <col min="1528" max="1528" width="10" style="472" customWidth="1"/>
    <col min="1529" max="1529" width="20.5703125" style="472" customWidth="1"/>
    <col min="1530" max="1530" width="15.7109375" style="472" bestFit="1" customWidth="1"/>
    <col min="1531" max="1531" width="14.5703125" style="472" bestFit="1" customWidth="1"/>
    <col min="1532" max="1780" width="9.140625" style="472"/>
    <col min="1781" max="1781" width="8.42578125" style="472" customWidth="1"/>
    <col min="1782" max="1782" width="54.7109375" style="472" customWidth="1"/>
    <col min="1783" max="1783" width="7.85546875" style="472" customWidth="1"/>
    <col min="1784" max="1784" width="10" style="472" customWidth="1"/>
    <col min="1785" max="1785" width="20.5703125" style="472" customWidth="1"/>
    <col min="1786" max="1786" width="15.7109375" style="472" bestFit="1" customWidth="1"/>
    <col min="1787" max="1787" width="14.5703125" style="472" bestFit="1" customWidth="1"/>
    <col min="1788" max="2036" width="9.140625" style="472"/>
    <col min="2037" max="2037" width="8.42578125" style="472" customWidth="1"/>
    <col min="2038" max="2038" width="54.7109375" style="472" customWidth="1"/>
    <col min="2039" max="2039" width="7.85546875" style="472" customWidth="1"/>
    <col min="2040" max="2040" width="10" style="472" customWidth="1"/>
    <col min="2041" max="2041" width="20.5703125" style="472" customWidth="1"/>
    <col min="2042" max="2042" width="15.7109375" style="472" bestFit="1" customWidth="1"/>
    <col min="2043" max="2043" width="14.5703125" style="472" bestFit="1" customWidth="1"/>
    <col min="2044" max="2292" width="9.140625" style="472"/>
    <col min="2293" max="2293" width="8.42578125" style="472" customWidth="1"/>
    <col min="2294" max="2294" width="54.7109375" style="472" customWidth="1"/>
    <col min="2295" max="2295" width="7.85546875" style="472" customWidth="1"/>
    <col min="2296" max="2296" width="10" style="472" customWidth="1"/>
    <col min="2297" max="2297" width="20.5703125" style="472" customWidth="1"/>
    <col min="2298" max="2298" width="15.7109375" style="472" bestFit="1" customWidth="1"/>
    <col min="2299" max="2299" width="14.5703125" style="472" bestFit="1" customWidth="1"/>
    <col min="2300" max="2548" width="9.140625" style="472"/>
    <col min="2549" max="2549" width="8.42578125" style="472" customWidth="1"/>
    <col min="2550" max="2550" width="54.7109375" style="472" customWidth="1"/>
    <col min="2551" max="2551" width="7.85546875" style="472" customWidth="1"/>
    <col min="2552" max="2552" width="10" style="472" customWidth="1"/>
    <col min="2553" max="2553" width="20.5703125" style="472" customWidth="1"/>
    <col min="2554" max="2554" width="15.7109375" style="472" bestFit="1" customWidth="1"/>
    <col min="2555" max="2555" width="14.5703125" style="472" bestFit="1" customWidth="1"/>
    <col min="2556" max="2804" width="9.140625" style="472"/>
    <col min="2805" max="2805" width="8.42578125" style="472" customWidth="1"/>
    <col min="2806" max="2806" width="54.7109375" style="472" customWidth="1"/>
    <col min="2807" max="2807" width="7.85546875" style="472" customWidth="1"/>
    <col min="2808" max="2808" width="10" style="472" customWidth="1"/>
    <col min="2809" max="2809" width="20.5703125" style="472" customWidth="1"/>
    <col min="2810" max="2810" width="15.7109375" style="472" bestFit="1" customWidth="1"/>
    <col min="2811" max="2811" width="14.5703125" style="472" bestFit="1" customWidth="1"/>
    <col min="2812" max="3060" width="9.140625" style="472"/>
    <col min="3061" max="3061" width="8.42578125" style="472" customWidth="1"/>
    <col min="3062" max="3062" width="54.7109375" style="472" customWidth="1"/>
    <col min="3063" max="3063" width="7.85546875" style="472" customWidth="1"/>
    <col min="3064" max="3064" width="10" style="472" customWidth="1"/>
    <col min="3065" max="3065" width="20.5703125" style="472" customWidth="1"/>
    <col min="3066" max="3066" width="15.7109375" style="472" bestFit="1" customWidth="1"/>
    <col min="3067" max="3067" width="14.5703125" style="472" bestFit="1" customWidth="1"/>
    <col min="3068" max="3316" width="9.140625" style="472"/>
    <col min="3317" max="3317" width="8.42578125" style="472" customWidth="1"/>
    <col min="3318" max="3318" width="54.7109375" style="472" customWidth="1"/>
    <col min="3319" max="3319" width="7.85546875" style="472" customWidth="1"/>
    <col min="3320" max="3320" width="10" style="472" customWidth="1"/>
    <col min="3321" max="3321" width="20.5703125" style="472" customWidth="1"/>
    <col min="3322" max="3322" width="15.7109375" style="472" bestFit="1" customWidth="1"/>
    <col min="3323" max="3323" width="14.5703125" style="472" bestFit="1" customWidth="1"/>
    <col min="3324" max="3572" width="9.140625" style="472"/>
    <col min="3573" max="3573" width="8.42578125" style="472" customWidth="1"/>
    <col min="3574" max="3574" width="54.7109375" style="472" customWidth="1"/>
    <col min="3575" max="3575" width="7.85546875" style="472" customWidth="1"/>
    <col min="3576" max="3576" width="10" style="472" customWidth="1"/>
    <col min="3577" max="3577" width="20.5703125" style="472" customWidth="1"/>
    <col min="3578" max="3578" width="15.7109375" style="472" bestFit="1" customWidth="1"/>
    <col min="3579" max="3579" width="14.5703125" style="472" bestFit="1" customWidth="1"/>
    <col min="3580" max="3828" width="9.140625" style="472"/>
    <col min="3829" max="3829" width="8.42578125" style="472" customWidth="1"/>
    <col min="3830" max="3830" width="54.7109375" style="472" customWidth="1"/>
    <col min="3831" max="3831" width="7.85546875" style="472" customWidth="1"/>
    <col min="3832" max="3832" width="10" style="472" customWidth="1"/>
    <col min="3833" max="3833" width="20.5703125" style="472" customWidth="1"/>
    <col min="3834" max="3834" width="15.7109375" style="472" bestFit="1" customWidth="1"/>
    <col min="3835" max="3835" width="14.5703125" style="472" bestFit="1" customWidth="1"/>
    <col min="3836" max="4084" width="9.140625" style="472"/>
    <col min="4085" max="4085" width="8.42578125" style="472" customWidth="1"/>
    <col min="4086" max="4086" width="54.7109375" style="472" customWidth="1"/>
    <col min="4087" max="4087" width="7.85546875" style="472" customWidth="1"/>
    <col min="4088" max="4088" width="10" style="472" customWidth="1"/>
    <col min="4089" max="4089" width="20.5703125" style="472" customWidth="1"/>
    <col min="4090" max="4090" width="15.7109375" style="472" bestFit="1" customWidth="1"/>
    <col min="4091" max="4091" width="14.5703125" style="472" bestFit="1" customWidth="1"/>
    <col min="4092" max="4340" width="9.140625" style="472"/>
    <col min="4341" max="4341" width="8.42578125" style="472" customWidth="1"/>
    <col min="4342" max="4342" width="54.7109375" style="472" customWidth="1"/>
    <col min="4343" max="4343" width="7.85546875" style="472" customWidth="1"/>
    <col min="4344" max="4344" width="10" style="472" customWidth="1"/>
    <col min="4345" max="4345" width="20.5703125" style="472" customWidth="1"/>
    <col min="4346" max="4346" width="15.7109375" style="472" bestFit="1" customWidth="1"/>
    <col min="4347" max="4347" width="14.5703125" style="472" bestFit="1" customWidth="1"/>
    <col min="4348" max="4596" width="9.140625" style="472"/>
    <col min="4597" max="4597" width="8.42578125" style="472" customWidth="1"/>
    <col min="4598" max="4598" width="54.7109375" style="472" customWidth="1"/>
    <col min="4599" max="4599" width="7.85546875" style="472" customWidth="1"/>
    <col min="4600" max="4600" width="10" style="472" customWidth="1"/>
    <col min="4601" max="4601" width="20.5703125" style="472" customWidth="1"/>
    <col min="4602" max="4602" width="15.7109375" style="472" bestFit="1" customWidth="1"/>
    <col min="4603" max="4603" width="14.5703125" style="472" bestFit="1" customWidth="1"/>
    <col min="4604" max="4852" width="9.140625" style="472"/>
    <col min="4853" max="4853" width="8.42578125" style="472" customWidth="1"/>
    <col min="4854" max="4854" width="54.7109375" style="472" customWidth="1"/>
    <col min="4855" max="4855" width="7.85546875" style="472" customWidth="1"/>
    <col min="4856" max="4856" width="10" style="472" customWidth="1"/>
    <col min="4857" max="4857" width="20.5703125" style="472" customWidth="1"/>
    <col min="4858" max="4858" width="15.7109375" style="472" bestFit="1" customWidth="1"/>
    <col min="4859" max="4859" width="14.5703125" style="472" bestFit="1" customWidth="1"/>
    <col min="4860" max="5108" width="9.140625" style="472"/>
    <col min="5109" max="5109" width="8.42578125" style="472" customWidth="1"/>
    <col min="5110" max="5110" width="54.7109375" style="472" customWidth="1"/>
    <col min="5111" max="5111" width="7.85546875" style="472" customWidth="1"/>
    <col min="5112" max="5112" width="10" style="472" customWidth="1"/>
    <col min="5113" max="5113" width="20.5703125" style="472" customWidth="1"/>
    <col min="5114" max="5114" width="15.7109375" style="472" bestFit="1" customWidth="1"/>
    <col min="5115" max="5115" width="14.5703125" style="472" bestFit="1" customWidth="1"/>
    <col min="5116" max="5364" width="9.140625" style="472"/>
    <col min="5365" max="5365" width="8.42578125" style="472" customWidth="1"/>
    <col min="5366" max="5366" width="54.7109375" style="472" customWidth="1"/>
    <col min="5367" max="5367" width="7.85546875" style="472" customWidth="1"/>
    <col min="5368" max="5368" width="10" style="472" customWidth="1"/>
    <col min="5369" max="5369" width="20.5703125" style="472" customWidth="1"/>
    <col min="5370" max="5370" width="15.7109375" style="472" bestFit="1" customWidth="1"/>
    <col min="5371" max="5371" width="14.5703125" style="472" bestFit="1" customWidth="1"/>
    <col min="5372" max="5620" width="9.140625" style="472"/>
    <col min="5621" max="5621" width="8.42578125" style="472" customWidth="1"/>
    <col min="5622" max="5622" width="54.7109375" style="472" customWidth="1"/>
    <col min="5623" max="5623" width="7.85546875" style="472" customWidth="1"/>
    <col min="5624" max="5624" width="10" style="472" customWidth="1"/>
    <col min="5625" max="5625" width="20.5703125" style="472" customWidth="1"/>
    <col min="5626" max="5626" width="15.7109375" style="472" bestFit="1" customWidth="1"/>
    <col min="5627" max="5627" width="14.5703125" style="472" bestFit="1" customWidth="1"/>
    <col min="5628" max="5876" width="9.140625" style="472"/>
    <col min="5877" max="5877" width="8.42578125" style="472" customWidth="1"/>
    <col min="5878" max="5878" width="54.7109375" style="472" customWidth="1"/>
    <col min="5879" max="5879" width="7.85546875" style="472" customWidth="1"/>
    <col min="5880" max="5880" width="10" style="472" customWidth="1"/>
    <col min="5881" max="5881" width="20.5703125" style="472" customWidth="1"/>
    <col min="5882" max="5882" width="15.7109375" style="472" bestFit="1" customWidth="1"/>
    <col min="5883" max="5883" width="14.5703125" style="472" bestFit="1" customWidth="1"/>
    <col min="5884" max="6132" width="9.140625" style="472"/>
    <col min="6133" max="6133" width="8.42578125" style="472" customWidth="1"/>
    <col min="6134" max="6134" width="54.7109375" style="472" customWidth="1"/>
    <col min="6135" max="6135" width="7.85546875" style="472" customWidth="1"/>
    <col min="6136" max="6136" width="10" style="472" customWidth="1"/>
    <col min="6137" max="6137" width="20.5703125" style="472" customWidth="1"/>
    <col min="6138" max="6138" width="15.7109375" style="472" bestFit="1" customWidth="1"/>
    <col min="6139" max="6139" width="14.5703125" style="472" bestFit="1" customWidth="1"/>
    <col min="6140" max="6388" width="9.140625" style="472"/>
    <col min="6389" max="6389" width="8.42578125" style="472" customWidth="1"/>
    <col min="6390" max="6390" width="54.7109375" style="472" customWidth="1"/>
    <col min="6391" max="6391" width="7.85546875" style="472" customWidth="1"/>
    <col min="6392" max="6392" width="10" style="472" customWidth="1"/>
    <col min="6393" max="6393" width="20.5703125" style="472" customWidth="1"/>
    <col min="6394" max="6394" width="15.7109375" style="472" bestFit="1" customWidth="1"/>
    <col min="6395" max="6395" width="14.5703125" style="472" bestFit="1" customWidth="1"/>
    <col min="6396" max="6644" width="9.140625" style="472"/>
    <col min="6645" max="6645" width="8.42578125" style="472" customWidth="1"/>
    <col min="6646" max="6646" width="54.7109375" style="472" customWidth="1"/>
    <col min="6647" max="6647" width="7.85546875" style="472" customWidth="1"/>
    <col min="6648" max="6648" width="10" style="472" customWidth="1"/>
    <col min="6649" max="6649" width="20.5703125" style="472" customWidth="1"/>
    <col min="6650" max="6650" width="15.7109375" style="472" bestFit="1" customWidth="1"/>
    <col min="6651" max="6651" width="14.5703125" style="472" bestFit="1" customWidth="1"/>
    <col min="6652" max="6900" width="9.140625" style="472"/>
    <col min="6901" max="6901" width="8.42578125" style="472" customWidth="1"/>
    <col min="6902" max="6902" width="54.7109375" style="472" customWidth="1"/>
    <col min="6903" max="6903" width="7.85546875" style="472" customWidth="1"/>
    <col min="6904" max="6904" width="10" style="472" customWidth="1"/>
    <col min="6905" max="6905" width="20.5703125" style="472" customWidth="1"/>
    <col min="6906" max="6906" width="15.7109375" style="472" bestFit="1" customWidth="1"/>
    <col min="6907" max="6907" width="14.5703125" style="472" bestFit="1" customWidth="1"/>
    <col min="6908" max="7156" width="9.140625" style="472"/>
    <col min="7157" max="7157" width="8.42578125" style="472" customWidth="1"/>
    <col min="7158" max="7158" width="54.7109375" style="472" customWidth="1"/>
    <col min="7159" max="7159" width="7.85546875" style="472" customWidth="1"/>
    <col min="7160" max="7160" width="10" style="472" customWidth="1"/>
    <col min="7161" max="7161" width="20.5703125" style="472" customWidth="1"/>
    <col min="7162" max="7162" width="15.7109375" style="472" bestFit="1" customWidth="1"/>
    <col min="7163" max="7163" width="14.5703125" style="472" bestFit="1" customWidth="1"/>
    <col min="7164" max="7412" width="9.140625" style="472"/>
    <col min="7413" max="7413" width="8.42578125" style="472" customWidth="1"/>
    <col min="7414" max="7414" width="54.7109375" style="472" customWidth="1"/>
    <col min="7415" max="7415" width="7.85546875" style="472" customWidth="1"/>
    <col min="7416" max="7416" width="10" style="472" customWidth="1"/>
    <col min="7417" max="7417" width="20.5703125" style="472" customWidth="1"/>
    <col min="7418" max="7418" width="15.7109375" style="472" bestFit="1" customWidth="1"/>
    <col min="7419" max="7419" width="14.5703125" style="472" bestFit="1" customWidth="1"/>
    <col min="7420" max="7668" width="9.140625" style="472"/>
    <col min="7669" max="7669" width="8.42578125" style="472" customWidth="1"/>
    <col min="7670" max="7670" width="54.7109375" style="472" customWidth="1"/>
    <col min="7671" max="7671" width="7.85546875" style="472" customWidth="1"/>
    <col min="7672" max="7672" width="10" style="472" customWidth="1"/>
    <col min="7673" max="7673" width="20.5703125" style="472" customWidth="1"/>
    <col min="7674" max="7674" width="15.7109375" style="472" bestFit="1" customWidth="1"/>
    <col min="7675" max="7675" width="14.5703125" style="472" bestFit="1" customWidth="1"/>
    <col min="7676" max="7924" width="9.140625" style="472"/>
    <col min="7925" max="7925" width="8.42578125" style="472" customWidth="1"/>
    <col min="7926" max="7926" width="54.7109375" style="472" customWidth="1"/>
    <col min="7927" max="7927" width="7.85546875" style="472" customWidth="1"/>
    <col min="7928" max="7928" width="10" style="472" customWidth="1"/>
    <col min="7929" max="7929" width="20.5703125" style="472" customWidth="1"/>
    <col min="7930" max="7930" width="15.7109375" style="472" bestFit="1" customWidth="1"/>
    <col min="7931" max="7931" width="14.5703125" style="472" bestFit="1" customWidth="1"/>
    <col min="7932" max="8180" width="9.140625" style="472"/>
    <col min="8181" max="8181" width="8.42578125" style="472" customWidth="1"/>
    <col min="8182" max="8182" width="54.7109375" style="472" customWidth="1"/>
    <col min="8183" max="8183" width="7.85546875" style="472" customWidth="1"/>
    <col min="8184" max="8184" width="10" style="472" customWidth="1"/>
    <col min="8185" max="8185" width="20.5703125" style="472" customWidth="1"/>
    <col min="8186" max="8186" width="15.7109375" style="472" bestFit="1" customWidth="1"/>
    <col min="8187" max="8187" width="14.5703125" style="472" bestFit="1" customWidth="1"/>
    <col min="8188" max="8436" width="9.140625" style="472"/>
    <col min="8437" max="8437" width="8.42578125" style="472" customWidth="1"/>
    <col min="8438" max="8438" width="54.7109375" style="472" customWidth="1"/>
    <col min="8439" max="8439" width="7.85546875" style="472" customWidth="1"/>
    <col min="8440" max="8440" width="10" style="472" customWidth="1"/>
    <col min="8441" max="8441" width="20.5703125" style="472" customWidth="1"/>
    <col min="8442" max="8442" width="15.7109375" style="472" bestFit="1" customWidth="1"/>
    <col min="8443" max="8443" width="14.5703125" style="472" bestFit="1" customWidth="1"/>
    <col min="8444" max="8692" width="9.140625" style="472"/>
    <col min="8693" max="8693" width="8.42578125" style="472" customWidth="1"/>
    <col min="8694" max="8694" width="54.7109375" style="472" customWidth="1"/>
    <col min="8695" max="8695" width="7.85546875" style="472" customWidth="1"/>
    <col min="8696" max="8696" width="10" style="472" customWidth="1"/>
    <col min="8697" max="8697" width="20.5703125" style="472" customWidth="1"/>
    <col min="8698" max="8698" width="15.7109375" style="472" bestFit="1" customWidth="1"/>
    <col min="8699" max="8699" width="14.5703125" style="472" bestFit="1" customWidth="1"/>
    <col min="8700" max="8948" width="9.140625" style="472"/>
    <col min="8949" max="8949" width="8.42578125" style="472" customWidth="1"/>
    <col min="8950" max="8950" width="54.7109375" style="472" customWidth="1"/>
    <col min="8951" max="8951" width="7.85546875" style="472" customWidth="1"/>
    <col min="8952" max="8952" width="10" style="472" customWidth="1"/>
    <col min="8953" max="8953" width="20.5703125" style="472" customWidth="1"/>
    <col min="8954" max="8954" width="15.7109375" style="472" bestFit="1" customWidth="1"/>
    <col min="8955" max="8955" width="14.5703125" style="472" bestFit="1" customWidth="1"/>
    <col min="8956" max="9204" width="9.140625" style="472"/>
    <col min="9205" max="9205" width="8.42578125" style="472" customWidth="1"/>
    <col min="9206" max="9206" width="54.7109375" style="472" customWidth="1"/>
    <col min="9207" max="9207" width="7.85546875" style="472" customWidth="1"/>
    <col min="9208" max="9208" width="10" style="472" customWidth="1"/>
    <col min="9209" max="9209" width="20.5703125" style="472" customWidth="1"/>
    <col min="9210" max="9210" width="15.7109375" style="472" bestFit="1" customWidth="1"/>
    <col min="9211" max="9211" width="14.5703125" style="472" bestFit="1" customWidth="1"/>
    <col min="9212" max="9460" width="9.140625" style="472"/>
    <col min="9461" max="9461" width="8.42578125" style="472" customWidth="1"/>
    <col min="9462" max="9462" width="54.7109375" style="472" customWidth="1"/>
    <col min="9463" max="9463" width="7.85546875" style="472" customWidth="1"/>
    <col min="9464" max="9464" width="10" style="472" customWidth="1"/>
    <col min="9465" max="9465" width="20.5703125" style="472" customWidth="1"/>
    <col min="9466" max="9466" width="15.7109375" style="472" bestFit="1" customWidth="1"/>
    <col min="9467" max="9467" width="14.5703125" style="472" bestFit="1" customWidth="1"/>
    <col min="9468" max="9716" width="9.140625" style="472"/>
    <col min="9717" max="9717" width="8.42578125" style="472" customWidth="1"/>
    <col min="9718" max="9718" width="54.7109375" style="472" customWidth="1"/>
    <col min="9719" max="9719" width="7.85546875" style="472" customWidth="1"/>
    <col min="9720" max="9720" width="10" style="472" customWidth="1"/>
    <col min="9721" max="9721" width="20.5703125" style="472" customWidth="1"/>
    <col min="9722" max="9722" width="15.7109375" style="472" bestFit="1" customWidth="1"/>
    <col min="9723" max="9723" width="14.5703125" style="472" bestFit="1" customWidth="1"/>
    <col min="9724" max="9972" width="9.140625" style="472"/>
    <col min="9973" max="9973" width="8.42578125" style="472" customWidth="1"/>
    <col min="9974" max="9974" width="54.7109375" style="472" customWidth="1"/>
    <col min="9975" max="9975" width="7.85546875" style="472" customWidth="1"/>
    <col min="9976" max="9976" width="10" style="472" customWidth="1"/>
    <col min="9977" max="9977" width="20.5703125" style="472" customWidth="1"/>
    <col min="9978" max="9978" width="15.7109375" style="472" bestFit="1" customWidth="1"/>
    <col min="9979" max="9979" width="14.5703125" style="472" bestFit="1" customWidth="1"/>
    <col min="9980" max="10228" width="9.140625" style="472"/>
    <col min="10229" max="10229" width="8.42578125" style="472" customWidth="1"/>
    <col min="10230" max="10230" width="54.7109375" style="472" customWidth="1"/>
    <col min="10231" max="10231" width="7.85546875" style="472" customWidth="1"/>
    <col min="10232" max="10232" width="10" style="472" customWidth="1"/>
    <col min="10233" max="10233" width="20.5703125" style="472" customWidth="1"/>
    <col min="10234" max="10234" width="15.7109375" style="472" bestFit="1" customWidth="1"/>
    <col min="10235" max="10235" width="14.5703125" style="472" bestFit="1" customWidth="1"/>
    <col min="10236" max="10484" width="9.140625" style="472"/>
    <col min="10485" max="10485" width="8.42578125" style="472" customWidth="1"/>
    <col min="10486" max="10486" width="54.7109375" style="472" customWidth="1"/>
    <col min="10487" max="10487" width="7.85546875" style="472" customWidth="1"/>
    <col min="10488" max="10488" width="10" style="472" customWidth="1"/>
    <col min="10489" max="10489" width="20.5703125" style="472" customWidth="1"/>
    <col min="10490" max="10490" width="15.7109375" style="472" bestFit="1" customWidth="1"/>
    <col min="10491" max="10491" width="14.5703125" style="472" bestFit="1" customWidth="1"/>
    <col min="10492" max="10740" width="9.140625" style="472"/>
    <col min="10741" max="10741" width="8.42578125" style="472" customWidth="1"/>
    <col min="10742" max="10742" width="54.7109375" style="472" customWidth="1"/>
    <col min="10743" max="10743" width="7.85546875" style="472" customWidth="1"/>
    <col min="10744" max="10744" width="10" style="472" customWidth="1"/>
    <col min="10745" max="10745" width="20.5703125" style="472" customWidth="1"/>
    <col min="10746" max="10746" width="15.7109375" style="472" bestFit="1" customWidth="1"/>
    <col min="10747" max="10747" width="14.5703125" style="472" bestFit="1" customWidth="1"/>
    <col min="10748" max="10996" width="9.140625" style="472"/>
    <col min="10997" max="10997" width="8.42578125" style="472" customWidth="1"/>
    <col min="10998" max="10998" width="54.7109375" style="472" customWidth="1"/>
    <col min="10999" max="10999" width="7.85546875" style="472" customWidth="1"/>
    <col min="11000" max="11000" width="10" style="472" customWidth="1"/>
    <col min="11001" max="11001" width="20.5703125" style="472" customWidth="1"/>
    <col min="11002" max="11002" width="15.7109375" style="472" bestFit="1" customWidth="1"/>
    <col min="11003" max="11003" width="14.5703125" style="472" bestFit="1" customWidth="1"/>
    <col min="11004" max="11252" width="9.140625" style="472"/>
    <col min="11253" max="11253" width="8.42578125" style="472" customWidth="1"/>
    <col min="11254" max="11254" width="54.7109375" style="472" customWidth="1"/>
    <col min="11255" max="11255" width="7.85546875" style="472" customWidth="1"/>
    <col min="11256" max="11256" width="10" style="472" customWidth="1"/>
    <col min="11257" max="11257" width="20.5703125" style="472" customWidth="1"/>
    <col min="11258" max="11258" width="15.7109375" style="472" bestFit="1" customWidth="1"/>
    <col min="11259" max="11259" width="14.5703125" style="472" bestFit="1" customWidth="1"/>
    <col min="11260" max="11508" width="9.140625" style="472"/>
    <col min="11509" max="11509" width="8.42578125" style="472" customWidth="1"/>
    <col min="11510" max="11510" width="54.7109375" style="472" customWidth="1"/>
    <col min="11511" max="11511" width="7.85546875" style="472" customWidth="1"/>
    <col min="11512" max="11512" width="10" style="472" customWidth="1"/>
    <col min="11513" max="11513" width="20.5703125" style="472" customWidth="1"/>
    <col min="11514" max="11514" width="15.7109375" style="472" bestFit="1" customWidth="1"/>
    <col min="11515" max="11515" width="14.5703125" style="472" bestFit="1" customWidth="1"/>
    <col min="11516" max="11764" width="9.140625" style="472"/>
    <col min="11765" max="11765" width="8.42578125" style="472" customWidth="1"/>
    <col min="11766" max="11766" width="54.7109375" style="472" customWidth="1"/>
    <col min="11767" max="11767" width="7.85546875" style="472" customWidth="1"/>
    <col min="11768" max="11768" width="10" style="472" customWidth="1"/>
    <col min="11769" max="11769" width="20.5703125" style="472" customWidth="1"/>
    <col min="11770" max="11770" width="15.7109375" style="472" bestFit="1" customWidth="1"/>
    <col min="11771" max="11771" width="14.5703125" style="472" bestFit="1" customWidth="1"/>
    <col min="11772" max="12020" width="9.140625" style="472"/>
    <col min="12021" max="12021" width="8.42578125" style="472" customWidth="1"/>
    <col min="12022" max="12022" width="54.7109375" style="472" customWidth="1"/>
    <col min="12023" max="12023" width="7.85546875" style="472" customWidth="1"/>
    <col min="12024" max="12024" width="10" style="472" customWidth="1"/>
    <col min="12025" max="12025" width="20.5703125" style="472" customWidth="1"/>
    <col min="12026" max="12026" width="15.7109375" style="472" bestFit="1" customWidth="1"/>
    <col min="12027" max="12027" width="14.5703125" style="472" bestFit="1" customWidth="1"/>
    <col min="12028" max="12276" width="9.140625" style="472"/>
    <col min="12277" max="12277" width="8.42578125" style="472" customWidth="1"/>
    <col min="12278" max="12278" width="54.7109375" style="472" customWidth="1"/>
    <col min="12279" max="12279" width="7.85546875" style="472" customWidth="1"/>
    <col min="12280" max="12280" width="10" style="472" customWidth="1"/>
    <col min="12281" max="12281" width="20.5703125" style="472" customWidth="1"/>
    <col min="12282" max="12282" width="15.7109375" style="472" bestFit="1" customWidth="1"/>
    <col min="12283" max="12283" width="14.5703125" style="472" bestFit="1" customWidth="1"/>
    <col min="12284" max="12532" width="9.140625" style="472"/>
    <col min="12533" max="12533" width="8.42578125" style="472" customWidth="1"/>
    <col min="12534" max="12534" width="54.7109375" style="472" customWidth="1"/>
    <col min="12535" max="12535" width="7.85546875" style="472" customWidth="1"/>
    <col min="12536" max="12536" width="10" style="472" customWidth="1"/>
    <col min="12537" max="12537" width="20.5703125" style="472" customWidth="1"/>
    <col min="12538" max="12538" width="15.7109375" style="472" bestFit="1" customWidth="1"/>
    <col min="12539" max="12539" width="14.5703125" style="472" bestFit="1" customWidth="1"/>
    <col min="12540" max="12788" width="9.140625" style="472"/>
    <col min="12789" max="12789" width="8.42578125" style="472" customWidth="1"/>
    <col min="12790" max="12790" width="54.7109375" style="472" customWidth="1"/>
    <col min="12791" max="12791" width="7.85546875" style="472" customWidth="1"/>
    <col min="12792" max="12792" width="10" style="472" customWidth="1"/>
    <col min="12793" max="12793" width="20.5703125" style="472" customWidth="1"/>
    <col min="12794" max="12794" width="15.7109375" style="472" bestFit="1" customWidth="1"/>
    <col min="12795" max="12795" width="14.5703125" style="472" bestFit="1" customWidth="1"/>
    <col min="12796" max="13044" width="9.140625" style="472"/>
    <col min="13045" max="13045" width="8.42578125" style="472" customWidth="1"/>
    <col min="13046" max="13046" width="54.7109375" style="472" customWidth="1"/>
    <col min="13047" max="13047" width="7.85546875" style="472" customWidth="1"/>
    <col min="13048" max="13048" width="10" style="472" customWidth="1"/>
    <col min="13049" max="13049" width="20.5703125" style="472" customWidth="1"/>
    <col min="13050" max="13050" width="15.7109375" style="472" bestFit="1" customWidth="1"/>
    <col min="13051" max="13051" width="14.5703125" style="472" bestFit="1" customWidth="1"/>
    <col min="13052" max="13300" width="9.140625" style="472"/>
    <col min="13301" max="13301" width="8.42578125" style="472" customWidth="1"/>
    <col min="13302" max="13302" width="54.7109375" style="472" customWidth="1"/>
    <col min="13303" max="13303" width="7.85546875" style="472" customWidth="1"/>
    <col min="13304" max="13304" width="10" style="472" customWidth="1"/>
    <col min="13305" max="13305" width="20.5703125" style="472" customWidth="1"/>
    <col min="13306" max="13306" width="15.7109375" style="472" bestFit="1" customWidth="1"/>
    <col min="13307" max="13307" width="14.5703125" style="472" bestFit="1" customWidth="1"/>
    <col min="13308" max="13556" width="9.140625" style="472"/>
    <col min="13557" max="13557" width="8.42578125" style="472" customWidth="1"/>
    <col min="13558" max="13558" width="54.7109375" style="472" customWidth="1"/>
    <col min="13559" max="13559" width="7.85546875" style="472" customWidth="1"/>
    <col min="13560" max="13560" width="10" style="472" customWidth="1"/>
    <col min="13561" max="13561" width="20.5703125" style="472" customWidth="1"/>
    <col min="13562" max="13562" width="15.7109375" style="472" bestFit="1" customWidth="1"/>
    <col min="13563" max="13563" width="14.5703125" style="472" bestFit="1" customWidth="1"/>
    <col min="13564" max="13812" width="9.140625" style="472"/>
    <col min="13813" max="13813" width="8.42578125" style="472" customWidth="1"/>
    <col min="13814" max="13814" width="54.7109375" style="472" customWidth="1"/>
    <col min="13815" max="13815" width="7.85546875" style="472" customWidth="1"/>
    <col min="13816" max="13816" width="10" style="472" customWidth="1"/>
    <col min="13817" max="13817" width="20.5703125" style="472" customWidth="1"/>
    <col min="13818" max="13818" width="15.7109375" style="472" bestFit="1" customWidth="1"/>
    <col min="13819" max="13819" width="14.5703125" style="472" bestFit="1" customWidth="1"/>
    <col min="13820" max="14068" width="9.140625" style="472"/>
    <col min="14069" max="14069" width="8.42578125" style="472" customWidth="1"/>
    <col min="14070" max="14070" width="54.7109375" style="472" customWidth="1"/>
    <col min="14071" max="14071" width="7.85546875" style="472" customWidth="1"/>
    <col min="14072" max="14072" width="10" style="472" customWidth="1"/>
    <col min="14073" max="14073" width="20.5703125" style="472" customWidth="1"/>
    <col min="14074" max="14074" width="15.7109375" style="472" bestFit="1" customWidth="1"/>
    <col min="14075" max="14075" width="14.5703125" style="472" bestFit="1" customWidth="1"/>
    <col min="14076" max="14324" width="9.140625" style="472"/>
    <col min="14325" max="14325" width="8.42578125" style="472" customWidth="1"/>
    <col min="14326" max="14326" width="54.7109375" style="472" customWidth="1"/>
    <col min="14327" max="14327" width="7.85546875" style="472" customWidth="1"/>
    <col min="14328" max="14328" width="10" style="472" customWidth="1"/>
    <col min="14329" max="14329" width="20.5703125" style="472" customWidth="1"/>
    <col min="14330" max="14330" width="15.7109375" style="472" bestFit="1" customWidth="1"/>
    <col min="14331" max="14331" width="14.5703125" style="472" bestFit="1" customWidth="1"/>
    <col min="14332" max="14580" width="9.140625" style="472"/>
    <col min="14581" max="14581" width="8.42578125" style="472" customWidth="1"/>
    <col min="14582" max="14582" width="54.7109375" style="472" customWidth="1"/>
    <col min="14583" max="14583" width="7.85546875" style="472" customWidth="1"/>
    <col min="14584" max="14584" width="10" style="472" customWidth="1"/>
    <col min="14585" max="14585" width="20.5703125" style="472" customWidth="1"/>
    <col min="14586" max="14586" width="15.7109375" style="472" bestFit="1" customWidth="1"/>
    <col min="14587" max="14587" width="14.5703125" style="472" bestFit="1" customWidth="1"/>
    <col min="14588" max="14836" width="9.140625" style="472"/>
    <col min="14837" max="14837" width="8.42578125" style="472" customWidth="1"/>
    <col min="14838" max="14838" width="54.7109375" style="472" customWidth="1"/>
    <col min="14839" max="14839" width="7.85546875" style="472" customWidth="1"/>
    <col min="14840" max="14840" width="10" style="472" customWidth="1"/>
    <col min="14841" max="14841" width="20.5703125" style="472" customWidth="1"/>
    <col min="14842" max="14842" width="15.7109375" style="472" bestFit="1" customWidth="1"/>
    <col min="14843" max="14843" width="14.5703125" style="472" bestFit="1" customWidth="1"/>
    <col min="14844" max="15092" width="9.140625" style="472"/>
    <col min="15093" max="15093" width="8.42578125" style="472" customWidth="1"/>
    <col min="15094" max="15094" width="54.7109375" style="472" customWidth="1"/>
    <col min="15095" max="15095" width="7.85546875" style="472" customWidth="1"/>
    <col min="15096" max="15096" width="10" style="472" customWidth="1"/>
    <col min="15097" max="15097" width="20.5703125" style="472" customWidth="1"/>
    <col min="15098" max="15098" width="15.7109375" style="472" bestFit="1" customWidth="1"/>
    <col min="15099" max="15099" width="14.5703125" style="472" bestFit="1" customWidth="1"/>
    <col min="15100" max="15348" width="9.140625" style="472"/>
    <col min="15349" max="15349" width="8.42578125" style="472" customWidth="1"/>
    <col min="15350" max="15350" width="54.7109375" style="472" customWidth="1"/>
    <col min="15351" max="15351" width="7.85546875" style="472" customWidth="1"/>
    <col min="15352" max="15352" width="10" style="472" customWidth="1"/>
    <col min="15353" max="15353" width="20.5703125" style="472" customWidth="1"/>
    <col min="15354" max="15354" width="15.7109375" style="472" bestFit="1" customWidth="1"/>
    <col min="15355" max="15355" width="14.5703125" style="472" bestFit="1" customWidth="1"/>
    <col min="15356" max="15604" width="9.140625" style="472"/>
    <col min="15605" max="15605" width="8.42578125" style="472" customWidth="1"/>
    <col min="15606" max="15606" width="54.7109375" style="472" customWidth="1"/>
    <col min="15607" max="15607" width="7.85546875" style="472" customWidth="1"/>
    <col min="15608" max="15608" width="10" style="472" customWidth="1"/>
    <col min="15609" max="15609" width="20.5703125" style="472" customWidth="1"/>
    <col min="15610" max="15610" width="15.7109375" style="472" bestFit="1" customWidth="1"/>
    <col min="15611" max="15611" width="14.5703125" style="472" bestFit="1" customWidth="1"/>
    <col min="15612" max="15860" width="9.140625" style="472"/>
    <col min="15861" max="15861" width="8.42578125" style="472" customWidth="1"/>
    <col min="15862" max="15862" width="54.7109375" style="472" customWidth="1"/>
    <col min="15863" max="15863" width="7.85546875" style="472" customWidth="1"/>
    <col min="15864" max="15864" width="10" style="472" customWidth="1"/>
    <col min="15865" max="15865" width="20.5703125" style="472" customWidth="1"/>
    <col min="15866" max="15866" width="15.7109375" style="472" bestFit="1" customWidth="1"/>
    <col min="15867" max="15867" width="14.5703125" style="472" bestFit="1" customWidth="1"/>
    <col min="15868" max="16116" width="9.140625" style="472"/>
    <col min="16117" max="16117" width="8.42578125" style="472" customWidth="1"/>
    <col min="16118" max="16118" width="54.7109375" style="472" customWidth="1"/>
    <col min="16119" max="16119" width="7.85546875" style="472" customWidth="1"/>
    <col min="16120" max="16120" width="10" style="472" customWidth="1"/>
    <col min="16121" max="16121" width="20.5703125" style="472" customWidth="1"/>
    <col min="16122" max="16122" width="15.7109375" style="472" bestFit="1" customWidth="1"/>
    <col min="16123" max="16123" width="14.5703125" style="472" bestFit="1" customWidth="1"/>
    <col min="16124" max="16384" width="9.140625" style="472"/>
  </cols>
  <sheetData>
    <row r="1" spans="1:6" x14ac:dyDescent="0.3">
      <c r="A1" s="467"/>
      <c r="B1" s="468"/>
      <c r="C1" s="469"/>
      <c r="F1" s="471"/>
    </row>
    <row r="2" spans="1:6" x14ac:dyDescent="0.3">
      <c r="A2" s="467"/>
      <c r="B2" s="468"/>
      <c r="C2" s="469"/>
      <c r="F2" s="471"/>
    </row>
    <row r="3" spans="1:6" x14ac:dyDescent="0.3">
      <c r="A3" s="467"/>
      <c r="B3" s="468"/>
      <c r="C3" s="469"/>
      <c r="F3" s="471"/>
    </row>
    <row r="4" spans="1:6" x14ac:dyDescent="0.3">
      <c r="A4" s="473"/>
      <c r="B4" s="468"/>
      <c r="C4" s="469"/>
      <c r="F4" s="471"/>
    </row>
    <row r="5" spans="1:6" ht="33.75" customHeight="1" x14ac:dyDescent="0.3">
      <c r="A5" s="474" t="s">
        <v>578</v>
      </c>
      <c r="B5" s="474"/>
      <c r="C5" s="475"/>
      <c r="F5" s="471"/>
    </row>
    <row r="6" spans="1:6" ht="11.25" customHeight="1" x14ac:dyDescent="0.3">
      <c r="A6" s="474"/>
      <c r="B6" s="474"/>
      <c r="C6" s="474"/>
      <c r="F6" s="471"/>
    </row>
    <row r="7" spans="1:6" x14ac:dyDescent="0.3">
      <c r="A7" s="473"/>
      <c r="B7" s="476" t="s">
        <v>579</v>
      </c>
      <c r="C7" s="469"/>
      <c r="F7" s="471"/>
    </row>
    <row r="8" spans="1:6" s="477" customFormat="1" x14ac:dyDescent="0.3">
      <c r="B8" s="478" t="s">
        <v>580</v>
      </c>
      <c r="C8" s="479"/>
      <c r="D8" s="480"/>
      <c r="E8" s="471"/>
      <c r="F8" s="481"/>
    </row>
    <row r="9" spans="1:6" s="477" customFormat="1" x14ac:dyDescent="0.3">
      <c r="B9" s="478" t="s">
        <v>581</v>
      </c>
      <c r="C9" s="479"/>
      <c r="D9" s="480"/>
      <c r="E9" s="471"/>
      <c r="F9" s="481"/>
    </row>
    <row r="10" spans="1:6" s="477" customFormat="1" x14ac:dyDescent="0.3">
      <c r="A10" s="482"/>
      <c r="B10" s="483" t="s">
        <v>582</v>
      </c>
      <c r="C10" s="484"/>
      <c r="D10" s="485"/>
      <c r="E10" s="484"/>
      <c r="F10" s="486"/>
    </row>
    <row r="11" spans="1:6" s="477" customFormat="1" x14ac:dyDescent="0.3">
      <c r="A11" s="482"/>
      <c r="B11" s="483" t="s">
        <v>583</v>
      </c>
      <c r="C11" s="484"/>
      <c r="D11" s="485"/>
    </row>
    <row r="12" spans="1:6" s="477" customFormat="1" x14ac:dyDescent="0.3">
      <c r="A12" s="482"/>
      <c r="B12" s="483" t="s">
        <v>584</v>
      </c>
      <c r="C12" s="484"/>
      <c r="D12" s="485"/>
      <c r="E12" s="487"/>
      <c r="F12" s="487"/>
    </row>
    <row r="13" spans="1:6" s="477" customFormat="1" x14ac:dyDescent="0.3">
      <c r="A13" s="484"/>
      <c r="B13" s="483" t="s">
        <v>585</v>
      </c>
      <c r="C13" s="484"/>
      <c r="D13" s="488"/>
      <c r="E13" s="489"/>
      <c r="F13" s="490"/>
    </row>
    <row r="14" spans="1:6" s="477" customFormat="1" x14ac:dyDescent="0.3">
      <c r="A14" s="484"/>
      <c r="B14" s="483" t="s">
        <v>586</v>
      </c>
      <c r="C14" s="484"/>
      <c r="D14" s="488"/>
      <c r="E14" s="489"/>
      <c r="F14" s="490"/>
    </row>
    <row r="15" spans="1:6" s="477" customFormat="1" x14ac:dyDescent="0.3">
      <c r="A15" s="484"/>
      <c r="B15" s="483" t="s">
        <v>587</v>
      </c>
      <c r="C15" s="484"/>
      <c r="D15" s="488"/>
      <c r="E15" s="491" t="s">
        <v>588</v>
      </c>
      <c r="F15" s="491"/>
    </row>
    <row r="16" spans="1:6" s="477" customFormat="1" x14ac:dyDescent="0.3">
      <c r="A16" s="484"/>
      <c r="B16" s="483" t="s">
        <v>589</v>
      </c>
      <c r="C16" s="484"/>
      <c r="D16" s="488"/>
      <c r="E16" s="489"/>
      <c r="F16" s="490"/>
    </row>
    <row r="17" spans="1:7" s="477" customFormat="1" x14ac:dyDescent="0.3">
      <c r="A17" s="484"/>
      <c r="B17" s="483" t="s">
        <v>590</v>
      </c>
      <c r="C17" s="484"/>
      <c r="D17" s="488"/>
      <c r="E17" s="489"/>
      <c r="F17" s="490"/>
    </row>
    <row r="18" spans="1:7" s="477" customFormat="1" ht="19.5" thickBot="1" x14ac:dyDescent="0.35">
      <c r="A18" s="484"/>
      <c r="B18" s="492"/>
      <c r="C18" s="484"/>
      <c r="D18" s="488"/>
      <c r="E18" s="489"/>
      <c r="F18" s="490"/>
    </row>
    <row r="19" spans="1:7" s="499" customFormat="1" x14ac:dyDescent="0.3">
      <c r="A19" s="493" t="s">
        <v>1</v>
      </c>
      <c r="B19" s="494" t="s">
        <v>284</v>
      </c>
      <c r="C19" s="495" t="s">
        <v>26</v>
      </c>
      <c r="D19" s="496" t="s">
        <v>285</v>
      </c>
      <c r="E19" s="497" t="s">
        <v>286</v>
      </c>
      <c r="F19" s="498" t="s">
        <v>287</v>
      </c>
    </row>
    <row r="20" spans="1:7" s="499" customFormat="1" x14ac:dyDescent="0.3">
      <c r="A20" s="500" t="s">
        <v>513</v>
      </c>
      <c r="B20" s="501" t="s">
        <v>591</v>
      </c>
      <c r="C20" s="501"/>
      <c r="D20" s="501"/>
      <c r="E20" s="501"/>
      <c r="F20" s="502"/>
    </row>
    <row r="21" spans="1:7" s="499" customFormat="1" x14ac:dyDescent="0.3">
      <c r="A21" s="503" t="s">
        <v>288</v>
      </c>
      <c r="B21" s="504" t="s">
        <v>592</v>
      </c>
      <c r="C21" s="505"/>
      <c r="D21" s="506"/>
      <c r="E21" s="507"/>
      <c r="F21" s="508"/>
    </row>
    <row r="22" spans="1:7" x14ac:dyDescent="0.3">
      <c r="A22" s="509" t="s">
        <v>289</v>
      </c>
      <c r="B22" s="510" t="s">
        <v>290</v>
      </c>
      <c r="C22" s="511" t="s">
        <v>205</v>
      </c>
      <c r="D22" s="512">
        <v>2875</v>
      </c>
      <c r="E22" s="513">
        <v>12208</v>
      </c>
      <c r="F22" s="514">
        <f>+E22*D22</f>
        <v>35098000</v>
      </c>
      <c r="G22" s="515"/>
    </row>
    <row r="23" spans="1:7" x14ac:dyDescent="0.3">
      <c r="A23" s="509" t="s">
        <v>291</v>
      </c>
      <c r="B23" s="510" t="s">
        <v>292</v>
      </c>
      <c r="C23" s="511" t="s">
        <v>205</v>
      </c>
      <c r="D23" s="512">
        <v>2875</v>
      </c>
      <c r="E23" s="513">
        <v>4410.2519999999995</v>
      </c>
      <c r="F23" s="514">
        <f t="shared" ref="F23:F92" si="0">+E23*D23</f>
        <v>12679474.499999998</v>
      </c>
      <c r="G23" s="515"/>
    </row>
    <row r="24" spans="1:7" x14ac:dyDescent="0.3">
      <c r="A24" s="509" t="s">
        <v>293</v>
      </c>
      <c r="B24" s="510" t="s">
        <v>294</v>
      </c>
      <c r="C24" s="511" t="s">
        <v>205</v>
      </c>
      <c r="D24" s="512">
        <v>600</v>
      </c>
      <c r="E24" s="513">
        <v>1719.5527999999999</v>
      </c>
      <c r="F24" s="514">
        <f>+E24*D24</f>
        <v>1031731.6799999999</v>
      </c>
      <c r="G24" s="516"/>
    </row>
    <row r="25" spans="1:7" x14ac:dyDescent="0.3">
      <c r="A25" s="509" t="s">
        <v>295</v>
      </c>
      <c r="B25" s="510" t="s">
        <v>296</v>
      </c>
      <c r="C25" s="511" t="s">
        <v>203</v>
      </c>
      <c r="D25" s="512">
        <v>300</v>
      </c>
      <c r="E25" s="513">
        <v>4632.9919999999993</v>
      </c>
      <c r="F25" s="514">
        <f t="shared" si="0"/>
        <v>1389897.5999999999</v>
      </c>
    </row>
    <row r="26" spans="1:7" x14ac:dyDescent="0.3">
      <c r="A26" s="509" t="s">
        <v>297</v>
      </c>
      <c r="B26" s="510" t="s">
        <v>298</v>
      </c>
      <c r="C26" s="511" t="s">
        <v>203</v>
      </c>
      <c r="D26" s="512">
        <v>300</v>
      </c>
      <c r="E26" s="513">
        <v>7243.5047999999997</v>
      </c>
      <c r="F26" s="514">
        <f t="shared" si="0"/>
        <v>2173051.44</v>
      </c>
    </row>
    <row r="27" spans="1:7" x14ac:dyDescent="0.3">
      <c r="A27" s="509" t="s">
        <v>299</v>
      </c>
      <c r="B27" s="510" t="s">
        <v>218</v>
      </c>
      <c r="C27" s="511" t="s">
        <v>205</v>
      </c>
      <c r="D27" s="512">
        <v>5000</v>
      </c>
      <c r="E27" s="513">
        <v>2672.8799999999997</v>
      </c>
      <c r="F27" s="514">
        <f t="shared" si="0"/>
        <v>13364399.999999998</v>
      </c>
    </row>
    <row r="28" spans="1:7" x14ac:dyDescent="0.3">
      <c r="A28" s="509" t="s">
        <v>300</v>
      </c>
      <c r="B28" s="510" t="s">
        <v>202</v>
      </c>
      <c r="C28" s="511" t="s">
        <v>205</v>
      </c>
      <c r="D28" s="512">
        <v>350</v>
      </c>
      <c r="E28" s="513">
        <v>258.3784</v>
      </c>
      <c r="F28" s="514">
        <f t="shared" si="0"/>
        <v>90432.44</v>
      </c>
    </row>
    <row r="29" spans="1:7" x14ac:dyDescent="0.3">
      <c r="A29" s="509" t="s">
        <v>301</v>
      </c>
      <c r="B29" s="510" t="s">
        <v>484</v>
      </c>
      <c r="C29" s="511" t="s">
        <v>203</v>
      </c>
      <c r="D29" s="512">
        <v>50</v>
      </c>
      <c r="E29" s="513">
        <v>15146.32</v>
      </c>
      <c r="F29" s="514">
        <f t="shared" si="0"/>
        <v>757316</v>
      </c>
    </row>
    <row r="30" spans="1:7" x14ac:dyDescent="0.3">
      <c r="A30" s="509" t="s">
        <v>302</v>
      </c>
      <c r="B30" s="510" t="s">
        <v>593</v>
      </c>
      <c r="C30" s="511" t="s">
        <v>203</v>
      </c>
      <c r="D30" s="512">
        <v>50</v>
      </c>
      <c r="E30" s="513">
        <v>5078.4719999999988</v>
      </c>
      <c r="F30" s="514">
        <f t="shared" si="0"/>
        <v>253923.59999999995</v>
      </c>
    </row>
    <row r="31" spans="1:7" x14ac:dyDescent="0.3">
      <c r="A31" s="509" t="s">
        <v>303</v>
      </c>
      <c r="B31" s="510" t="s">
        <v>486</v>
      </c>
      <c r="C31" s="511" t="s">
        <v>203</v>
      </c>
      <c r="D31" s="512">
        <v>50</v>
      </c>
      <c r="E31" s="513">
        <v>26728.799999999999</v>
      </c>
      <c r="F31" s="517">
        <f>+D31*E31</f>
        <v>1336440</v>
      </c>
    </row>
    <row r="32" spans="1:7" x14ac:dyDescent="0.3">
      <c r="A32" s="509" t="s">
        <v>305</v>
      </c>
      <c r="B32" s="510" t="s">
        <v>306</v>
      </c>
      <c r="C32" s="511" t="s">
        <v>205</v>
      </c>
      <c r="D32" s="512">
        <v>2150</v>
      </c>
      <c r="E32" s="513">
        <v>22274</v>
      </c>
      <c r="F32" s="517">
        <f t="shared" ref="F32:F35" si="1">+D32*E32</f>
        <v>47889100</v>
      </c>
    </row>
    <row r="33" spans="1:6" x14ac:dyDescent="0.3">
      <c r="A33" s="509" t="s">
        <v>307</v>
      </c>
      <c r="B33" s="510" t="s">
        <v>223</v>
      </c>
      <c r="C33" s="511" t="s">
        <v>205</v>
      </c>
      <c r="D33" s="512">
        <v>350</v>
      </c>
      <c r="E33" s="513">
        <v>2672.8799999999997</v>
      </c>
      <c r="F33" s="517">
        <f t="shared" si="1"/>
        <v>935507.99999999988</v>
      </c>
    </row>
    <row r="34" spans="1:6" ht="19.899999999999999" customHeight="1" x14ac:dyDescent="0.3">
      <c r="A34" s="509" t="s">
        <v>308</v>
      </c>
      <c r="B34" s="510" t="s">
        <v>309</v>
      </c>
      <c r="C34" s="511" t="s">
        <v>203</v>
      </c>
      <c r="D34" s="512">
        <v>10</v>
      </c>
      <c r="E34" s="513">
        <v>44548</v>
      </c>
      <c r="F34" s="517">
        <f t="shared" si="1"/>
        <v>445480</v>
      </c>
    </row>
    <row r="35" spans="1:6" x14ac:dyDescent="0.3">
      <c r="A35" s="509" t="s">
        <v>310</v>
      </c>
      <c r="B35" s="510" t="s">
        <v>311</v>
      </c>
      <c r="C35" s="511" t="s">
        <v>203</v>
      </c>
      <c r="D35" s="512">
        <v>40</v>
      </c>
      <c r="E35" s="513">
        <v>35638.400000000001</v>
      </c>
      <c r="F35" s="517">
        <f t="shared" si="1"/>
        <v>1425536</v>
      </c>
    </row>
    <row r="36" spans="1:6" s="499" customFormat="1" x14ac:dyDescent="0.3">
      <c r="A36" s="503" t="s">
        <v>312</v>
      </c>
      <c r="B36" s="504" t="s">
        <v>594</v>
      </c>
      <c r="C36" s="505"/>
      <c r="D36" s="506"/>
      <c r="E36" s="518"/>
      <c r="F36" s="519"/>
    </row>
    <row r="37" spans="1:6" x14ac:dyDescent="0.3">
      <c r="A37" s="509" t="s">
        <v>289</v>
      </c>
      <c r="B37" s="510" t="s">
        <v>290</v>
      </c>
      <c r="C37" s="511" t="s">
        <v>205</v>
      </c>
      <c r="D37" s="512">
        <v>2875</v>
      </c>
      <c r="E37" s="513">
        <v>12208</v>
      </c>
      <c r="F37" s="514">
        <f>+E37*D37</f>
        <v>35098000</v>
      </c>
    </row>
    <row r="38" spans="1:6" x14ac:dyDescent="0.3">
      <c r="A38" s="509" t="s">
        <v>314</v>
      </c>
      <c r="B38" s="510" t="s">
        <v>292</v>
      </c>
      <c r="C38" s="511" t="s">
        <v>205</v>
      </c>
      <c r="D38" s="512">
        <v>2875</v>
      </c>
      <c r="E38" s="513">
        <v>4410.2519999999995</v>
      </c>
      <c r="F38" s="514">
        <f t="shared" si="0"/>
        <v>12679474.499999998</v>
      </c>
    </row>
    <row r="39" spans="1:6" x14ac:dyDescent="0.3">
      <c r="A39" s="509" t="s">
        <v>315</v>
      </c>
      <c r="B39" s="510" t="s">
        <v>294</v>
      </c>
      <c r="C39" s="511" t="s">
        <v>205</v>
      </c>
      <c r="D39" s="512">
        <v>600</v>
      </c>
      <c r="E39" s="513">
        <v>1719.5527999999999</v>
      </c>
      <c r="F39" s="514">
        <f t="shared" si="0"/>
        <v>1031731.6799999999</v>
      </c>
    </row>
    <row r="40" spans="1:6" x14ac:dyDescent="0.3">
      <c r="A40" s="509" t="s">
        <v>316</v>
      </c>
      <c r="B40" s="510" t="s">
        <v>216</v>
      </c>
      <c r="C40" s="511" t="s">
        <v>203</v>
      </c>
      <c r="D40" s="512">
        <v>350</v>
      </c>
      <c r="E40" s="513">
        <v>4632.9919999999993</v>
      </c>
      <c r="F40" s="514">
        <f t="shared" si="0"/>
        <v>1621547.1999999997</v>
      </c>
    </row>
    <row r="41" spans="1:6" x14ac:dyDescent="0.3">
      <c r="A41" s="509" t="s">
        <v>317</v>
      </c>
      <c r="B41" s="510" t="s">
        <v>318</v>
      </c>
      <c r="C41" s="511" t="s">
        <v>203</v>
      </c>
      <c r="D41" s="512">
        <v>350</v>
      </c>
      <c r="E41" s="513">
        <v>7243.5047999999997</v>
      </c>
      <c r="F41" s="514">
        <f t="shared" si="0"/>
        <v>2535226.6799999997</v>
      </c>
    </row>
    <row r="42" spans="1:6" x14ac:dyDescent="0.3">
      <c r="A42" s="509" t="s">
        <v>319</v>
      </c>
      <c r="B42" s="510" t="s">
        <v>218</v>
      </c>
      <c r="C42" s="511" t="s">
        <v>205</v>
      </c>
      <c r="D42" s="512">
        <v>5000</v>
      </c>
      <c r="E42" s="513">
        <v>2672.8799999999997</v>
      </c>
      <c r="F42" s="514">
        <f t="shared" si="0"/>
        <v>13364399.999999998</v>
      </c>
    </row>
    <row r="43" spans="1:6" x14ac:dyDescent="0.3">
      <c r="A43" s="509" t="s">
        <v>320</v>
      </c>
      <c r="B43" s="510" t="s">
        <v>202</v>
      </c>
      <c r="C43" s="511" t="s">
        <v>205</v>
      </c>
      <c r="D43" s="512">
        <v>350</v>
      </c>
      <c r="E43" s="513">
        <v>258.3784</v>
      </c>
      <c r="F43" s="514">
        <f t="shared" si="0"/>
        <v>90432.44</v>
      </c>
    </row>
    <row r="44" spans="1:6" x14ac:dyDescent="0.3">
      <c r="A44" s="509" t="s">
        <v>321</v>
      </c>
      <c r="B44" s="510" t="s">
        <v>484</v>
      </c>
      <c r="C44" s="511" t="s">
        <v>203</v>
      </c>
      <c r="D44" s="512">
        <v>41</v>
      </c>
      <c r="E44" s="513">
        <v>15146.32</v>
      </c>
      <c r="F44" s="514">
        <f t="shared" si="0"/>
        <v>620999.12</v>
      </c>
    </row>
    <row r="45" spans="1:6" x14ac:dyDescent="0.3">
      <c r="A45" s="509" t="s">
        <v>322</v>
      </c>
      <c r="B45" s="510" t="s">
        <v>220</v>
      </c>
      <c r="C45" s="511" t="s">
        <v>203</v>
      </c>
      <c r="D45" s="512">
        <v>41</v>
      </c>
      <c r="E45" s="513">
        <v>5078.4719999999988</v>
      </c>
      <c r="F45" s="514">
        <f t="shared" si="0"/>
        <v>208217.35199999996</v>
      </c>
    </row>
    <row r="46" spans="1:6" x14ac:dyDescent="0.3">
      <c r="A46" s="509" t="s">
        <v>323</v>
      </c>
      <c r="B46" s="510" t="s">
        <v>486</v>
      </c>
      <c r="C46" s="511" t="s">
        <v>203</v>
      </c>
      <c r="D46" s="512">
        <v>41</v>
      </c>
      <c r="E46" s="513">
        <v>26728.799999999999</v>
      </c>
      <c r="F46" s="517">
        <f t="shared" ref="F46:F50" si="2">+D46*E46</f>
        <v>1095880.8</v>
      </c>
    </row>
    <row r="47" spans="1:6" x14ac:dyDescent="0.3">
      <c r="A47" s="509" t="s">
        <v>324</v>
      </c>
      <c r="B47" s="510" t="s">
        <v>222</v>
      </c>
      <c r="C47" s="511" t="s">
        <v>205</v>
      </c>
      <c r="D47" s="512">
        <v>2150</v>
      </c>
      <c r="E47" s="513">
        <v>22274</v>
      </c>
      <c r="F47" s="517">
        <f t="shared" si="2"/>
        <v>47889100</v>
      </c>
    </row>
    <row r="48" spans="1:6" x14ac:dyDescent="0.3">
      <c r="A48" s="509" t="s">
        <v>325</v>
      </c>
      <c r="B48" s="510" t="s">
        <v>311</v>
      </c>
      <c r="C48" s="511" t="s">
        <v>203</v>
      </c>
      <c r="D48" s="512">
        <v>41</v>
      </c>
      <c r="E48" s="513">
        <v>44548</v>
      </c>
      <c r="F48" s="517">
        <f t="shared" si="2"/>
        <v>1826468</v>
      </c>
    </row>
    <row r="49" spans="1:6" x14ac:dyDescent="0.3">
      <c r="A49" s="509" t="s">
        <v>326</v>
      </c>
      <c r="B49" s="510" t="s">
        <v>223</v>
      </c>
      <c r="C49" s="511" t="s">
        <v>205</v>
      </c>
      <c r="D49" s="512">
        <v>350</v>
      </c>
      <c r="E49" s="513">
        <v>2672.8799999999997</v>
      </c>
      <c r="F49" s="517">
        <f t="shared" si="2"/>
        <v>935507.99999999988</v>
      </c>
    </row>
    <row r="50" spans="1:6" x14ac:dyDescent="0.3">
      <c r="A50" s="509" t="s">
        <v>327</v>
      </c>
      <c r="B50" s="510" t="s">
        <v>488</v>
      </c>
      <c r="C50" s="511" t="s">
        <v>329</v>
      </c>
      <c r="D50" s="512">
        <v>20</v>
      </c>
      <c r="E50" s="513">
        <v>169282.4</v>
      </c>
      <c r="F50" s="517">
        <f t="shared" si="2"/>
        <v>3385648</v>
      </c>
    </row>
    <row r="51" spans="1:6" s="499" customFormat="1" x14ac:dyDescent="0.3">
      <c r="A51" s="503" t="s">
        <v>330</v>
      </c>
      <c r="B51" s="504" t="s">
        <v>595</v>
      </c>
      <c r="C51" s="505"/>
      <c r="D51" s="506"/>
      <c r="E51" s="518"/>
      <c r="F51" s="519"/>
    </row>
    <row r="52" spans="1:6" x14ac:dyDescent="0.3">
      <c r="A52" s="509" t="s">
        <v>289</v>
      </c>
      <c r="B52" s="510" t="s">
        <v>290</v>
      </c>
      <c r="C52" s="511" t="s">
        <v>205</v>
      </c>
      <c r="D52" s="512">
        <v>2300</v>
      </c>
      <c r="E52" s="513">
        <v>12208</v>
      </c>
      <c r="F52" s="514">
        <f>+E52*D52</f>
        <v>28078400</v>
      </c>
    </row>
    <row r="53" spans="1:6" x14ac:dyDescent="0.3">
      <c r="A53" s="509" t="s">
        <v>332</v>
      </c>
      <c r="B53" s="510" t="s">
        <v>292</v>
      </c>
      <c r="C53" s="511" t="s">
        <v>205</v>
      </c>
      <c r="D53" s="512">
        <v>2300</v>
      </c>
      <c r="E53" s="513">
        <v>4410.2519999999995</v>
      </c>
      <c r="F53" s="514">
        <f t="shared" si="0"/>
        <v>10143579.6</v>
      </c>
    </row>
    <row r="54" spans="1:6" x14ac:dyDescent="0.3">
      <c r="A54" s="509" t="s">
        <v>333</v>
      </c>
      <c r="B54" s="510" t="s">
        <v>334</v>
      </c>
      <c r="C54" s="511" t="s">
        <v>205</v>
      </c>
      <c r="D54" s="512">
        <v>400</v>
      </c>
      <c r="E54" s="513">
        <v>1719.5527999999999</v>
      </c>
      <c r="F54" s="514">
        <f t="shared" si="0"/>
        <v>687821.12</v>
      </c>
    </row>
    <row r="55" spans="1:6" x14ac:dyDescent="0.3">
      <c r="A55" s="509" t="s">
        <v>335</v>
      </c>
      <c r="B55" s="510" t="s">
        <v>216</v>
      </c>
      <c r="C55" s="511" t="s">
        <v>203</v>
      </c>
      <c r="D55" s="512">
        <v>230</v>
      </c>
      <c r="E55" s="513">
        <v>4632.9919999999993</v>
      </c>
      <c r="F55" s="514">
        <f t="shared" si="0"/>
        <v>1065588.1599999999</v>
      </c>
    </row>
    <row r="56" spans="1:6" x14ac:dyDescent="0.3">
      <c r="A56" s="509" t="s">
        <v>336</v>
      </c>
      <c r="B56" s="510" t="s">
        <v>298</v>
      </c>
      <c r="C56" s="511" t="s">
        <v>203</v>
      </c>
      <c r="D56" s="512">
        <v>230</v>
      </c>
      <c r="E56" s="513">
        <v>7243.5047999999997</v>
      </c>
      <c r="F56" s="514">
        <f t="shared" si="0"/>
        <v>1666006.1039999998</v>
      </c>
    </row>
    <row r="57" spans="1:6" x14ac:dyDescent="0.3">
      <c r="A57" s="509" t="s">
        <v>337</v>
      </c>
      <c r="B57" s="510" t="s">
        <v>218</v>
      </c>
      <c r="C57" s="511" t="s">
        <v>205</v>
      </c>
      <c r="D57" s="512">
        <v>2300</v>
      </c>
      <c r="E57" s="513">
        <v>2672.8799999999997</v>
      </c>
      <c r="F57" s="514">
        <f t="shared" si="0"/>
        <v>6147623.9999999991</v>
      </c>
    </row>
    <row r="58" spans="1:6" x14ac:dyDescent="0.3">
      <c r="A58" s="509" t="s">
        <v>338</v>
      </c>
      <c r="B58" s="510" t="s">
        <v>202</v>
      </c>
      <c r="C58" s="511" t="s">
        <v>205</v>
      </c>
      <c r="D58" s="512">
        <v>900</v>
      </c>
      <c r="E58" s="513">
        <v>258.3784</v>
      </c>
      <c r="F58" s="514">
        <f t="shared" si="0"/>
        <v>232540.56</v>
      </c>
    </row>
    <row r="59" spans="1:6" x14ac:dyDescent="0.3">
      <c r="A59" s="509" t="s">
        <v>339</v>
      </c>
      <c r="B59" s="510" t="s">
        <v>596</v>
      </c>
      <c r="C59" s="511" t="s">
        <v>203</v>
      </c>
      <c r="D59" s="512">
        <v>16</v>
      </c>
      <c r="E59" s="513">
        <v>15146.32</v>
      </c>
      <c r="F59" s="514">
        <f t="shared" si="0"/>
        <v>242341.12</v>
      </c>
    </row>
    <row r="60" spans="1:6" x14ac:dyDescent="0.3">
      <c r="A60" s="509" t="s">
        <v>340</v>
      </c>
      <c r="B60" s="510" t="s">
        <v>593</v>
      </c>
      <c r="C60" s="511" t="s">
        <v>203</v>
      </c>
      <c r="D60" s="512">
        <v>16</v>
      </c>
      <c r="E60" s="513">
        <v>5078.4719999999988</v>
      </c>
      <c r="F60" s="514">
        <f t="shared" si="0"/>
        <v>81255.551999999981</v>
      </c>
    </row>
    <row r="61" spans="1:6" x14ac:dyDescent="0.3">
      <c r="A61" s="509" t="s">
        <v>341</v>
      </c>
      <c r="B61" s="510" t="s">
        <v>486</v>
      </c>
      <c r="C61" s="511" t="s">
        <v>203</v>
      </c>
      <c r="D61" s="512">
        <v>16</v>
      </c>
      <c r="E61" s="513">
        <v>22274</v>
      </c>
      <c r="F61" s="517">
        <f t="shared" ref="F61:F66" si="3">+D61*E61</f>
        <v>356384</v>
      </c>
    </row>
    <row r="62" spans="1:6" x14ac:dyDescent="0.3">
      <c r="A62" s="509" t="s">
        <v>342</v>
      </c>
      <c r="B62" s="510" t="s">
        <v>222</v>
      </c>
      <c r="C62" s="511" t="s">
        <v>205</v>
      </c>
      <c r="D62" s="512">
        <v>1100</v>
      </c>
      <c r="E62" s="513">
        <v>22274</v>
      </c>
      <c r="F62" s="517">
        <f t="shared" si="3"/>
        <v>24501400</v>
      </c>
    </row>
    <row r="63" spans="1:6" x14ac:dyDescent="0.3">
      <c r="A63" s="509" t="s">
        <v>343</v>
      </c>
      <c r="B63" s="510" t="s">
        <v>223</v>
      </c>
      <c r="C63" s="511" t="s">
        <v>205</v>
      </c>
      <c r="D63" s="512">
        <v>900</v>
      </c>
      <c r="E63" s="513">
        <v>2672.8799999999997</v>
      </c>
      <c r="F63" s="517">
        <f t="shared" si="3"/>
        <v>2405591.9999999995</v>
      </c>
    </row>
    <row r="64" spans="1:6" x14ac:dyDescent="0.3">
      <c r="A64" s="509" t="s">
        <v>344</v>
      </c>
      <c r="B64" s="510" t="s">
        <v>597</v>
      </c>
      <c r="C64" s="511" t="s">
        <v>205</v>
      </c>
      <c r="D64" s="512">
        <v>300</v>
      </c>
      <c r="E64" s="513">
        <v>17791</v>
      </c>
      <c r="F64" s="517">
        <f t="shared" si="3"/>
        <v>5337300</v>
      </c>
    </row>
    <row r="65" spans="1:6" x14ac:dyDescent="0.3">
      <c r="A65" s="509" t="s">
        <v>345</v>
      </c>
      <c r="B65" s="510" t="s">
        <v>311</v>
      </c>
      <c r="C65" s="511" t="s">
        <v>203</v>
      </c>
      <c r="D65" s="512">
        <v>16</v>
      </c>
      <c r="E65" s="513">
        <v>44548</v>
      </c>
      <c r="F65" s="517">
        <f t="shared" si="3"/>
        <v>712768</v>
      </c>
    </row>
    <row r="66" spans="1:6" ht="19.5" thickBot="1" x14ac:dyDescent="0.35">
      <c r="A66" s="520" t="s">
        <v>598</v>
      </c>
      <c r="B66" s="521" t="s">
        <v>488</v>
      </c>
      <c r="C66" s="522" t="s">
        <v>329</v>
      </c>
      <c r="D66" s="523">
        <v>20</v>
      </c>
      <c r="E66" s="524">
        <v>169282.4</v>
      </c>
      <c r="F66" s="525">
        <f t="shared" si="3"/>
        <v>3385648</v>
      </c>
    </row>
    <row r="67" spans="1:6" x14ac:dyDescent="0.3">
      <c r="A67" s="526"/>
      <c r="B67" s="527"/>
      <c r="D67" s="528"/>
      <c r="E67" s="489"/>
      <c r="F67" s="529"/>
    </row>
    <row r="68" spans="1:6" x14ac:dyDescent="0.3">
      <c r="A68" s="526"/>
      <c r="B68" s="527"/>
      <c r="D68" s="528"/>
      <c r="E68" s="489"/>
      <c r="F68" s="529"/>
    </row>
    <row r="69" spans="1:6" x14ac:dyDescent="0.3">
      <c r="A69" s="530" t="s">
        <v>568</v>
      </c>
      <c r="B69" s="530"/>
      <c r="D69" s="528"/>
      <c r="E69" s="489"/>
      <c r="F69" s="529"/>
    </row>
    <row r="70" spans="1:6" ht="19.5" thickBot="1" x14ac:dyDescent="0.35">
      <c r="A70" s="526"/>
      <c r="B70" s="531"/>
      <c r="D70" s="528"/>
      <c r="E70" s="489"/>
      <c r="F70" s="529"/>
    </row>
    <row r="71" spans="1:6" s="499" customFormat="1" x14ac:dyDescent="0.3">
      <c r="A71" s="532" t="s">
        <v>513</v>
      </c>
      <c r="B71" s="533" t="s">
        <v>591</v>
      </c>
      <c r="C71" s="533"/>
      <c r="D71" s="533"/>
      <c r="E71" s="533"/>
      <c r="F71" s="534"/>
    </row>
    <row r="72" spans="1:6" x14ac:dyDescent="0.3">
      <c r="A72" s="503" t="s">
        <v>346</v>
      </c>
      <c r="B72" s="535" t="s">
        <v>599</v>
      </c>
      <c r="C72" s="535"/>
      <c r="D72" s="535"/>
      <c r="E72" s="535"/>
      <c r="F72" s="536"/>
    </row>
    <row r="73" spans="1:6" x14ac:dyDescent="0.3">
      <c r="A73" s="509" t="s">
        <v>347</v>
      </c>
      <c r="B73" s="510" t="s">
        <v>292</v>
      </c>
      <c r="C73" s="511" t="s">
        <v>205</v>
      </c>
      <c r="D73" s="512">
        <v>575</v>
      </c>
      <c r="E73" s="513">
        <v>4410.2519999999995</v>
      </c>
      <c r="F73" s="514">
        <f t="shared" si="0"/>
        <v>2535894.9</v>
      </c>
    </row>
    <row r="74" spans="1:6" x14ac:dyDescent="0.3">
      <c r="A74" s="509" t="s">
        <v>348</v>
      </c>
      <c r="B74" s="510" t="s">
        <v>492</v>
      </c>
      <c r="C74" s="511" t="s">
        <v>203</v>
      </c>
      <c r="D74" s="512">
        <v>9</v>
      </c>
      <c r="E74" s="513">
        <v>37272.420639999997</v>
      </c>
      <c r="F74" s="514">
        <f t="shared" si="0"/>
        <v>335451.78576</v>
      </c>
    </row>
    <row r="75" spans="1:6" x14ac:dyDescent="0.3">
      <c r="A75" s="509" t="s">
        <v>349</v>
      </c>
      <c r="B75" s="510" t="s">
        <v>493</v>
      </c>
      <c r="C75" s="511" t="s">
        <v>205</v>
      </c>
      <c r="D75" s="512">
        <v>9</v>
      </c>
      <c r="E75" s="513">
        <v>8767.0463999999993</v>
      </c>
      <c r="F75" s="514">
        <f t="shared" si="0"/>
        <v>78903.417599999986</v>
      </c>
    </row>
    <row r="76" spans="1:6" x14ac:dyDescent="0.3">
      <c r="A76" s="509" t="s">
        <v>351</v>
      </c>
      <c r="B76" s="510" t="s">
        <v>231</v>
      </c>
      <c r="C76" s="511" t="s">
        <v>203</v>
      </c>
      <c r="D76" s="512">
        <v>1</v>
      </c>
      <c r="E76" s="513">
        <v>6236.7199999999993</v>
      </c>
      <c r="F76" s="514">
        <f t="shared" si="0"/>
        <v>6236.7199999999993</v>
      </c>
    </row>
    <row r="77" spans="1:6" x14ac:dyDescent="0.3">
      <c r="A77" s="509" t="s">
        <v>352</v>
      </c>
      <c r="B77" s="510" t="s">
        <v>232</v>
      </c>
      <c r="C77" s="511" t="s">
        <v>203</v>
      </c>
      <c r="D77" s="512">
        <v>1</v>
      </c>
      <c r="E77" s="513">
        <v>12389.689759999997</v>
      </c>
      <c r="F77" s="514">
        <f t="shared" si="0"/>
        <v>12389.689759999997</v>
      </c>
    </row>
    <row r="78" spans="1:6" x14ac:dyDescent="0.3">
      <c r="A78" s="509" t="s">
        <v>353</v>
      </c>
      <c r="B78" s="510" t="s">
        <v>233</v>
      </c>
      <c r="C78" s="511" t="s">
        <v>203</v>
      </c>
      <c r="D78" s="512">
        <v>1</v>
      </c>
      <c r="E78" s="513">
        <v>12389.689759999997</v>
      </c>
      <c r="F78" s="514">
        <f t="shared" si="0"/>
        <v>12389.689759999997</v>
      </c>
    </row>
    <row r="79" spans="1:6" x14ac:dyDescent="0.3">
      <c r="A79" s="509" t="s">
        <v>354</v>
      </c>
      <c r="B79" s="510" t="s">
        <v>234</v>
      </c>
      <c r="C79" s="511" t="s">
        <v>203</v>
      </c>
      <c r="D79" s="512">
        <v>4</v>
      </c>
      <c r="E79" s="513">
        <v>4454.8</v>
      </c>
      <c r="F79" s="514">
        <f t="shared" si="0"/>
        <v>17819.2</v>
      </c>
    </row>
    <row r="80" spans="1:6" x14ac:dyDescent="0.3">
      <c r="A80" s="509" t="s">
        <v>355</v>
      </c>
      <c r="B80" s="510" t="s">
        <v>235</v>
      </c>
      <c r="C80" s="511" t="s">
        <v>203</v>
      </c>
      <c r="D80" s="512">
        <v>1</v>
      </c>
      <c r="E80" s="513">
        <v>220512.59999999998</v>
      </c>
      <c r="F80" s="514">
        <f t="shared" si="0"/>
        <v>220512.59999999998</v>
      </c>
    </row>
    <row r="81" spans="1:6" x14ac:dyDescent="0.3">
      <c r="A81" s="509" t="s">
        <v>356</v>
      </c>
      <c r="B81" s="510" t="s">
        <v>357</v>
      </c>
      <c r="C81" s="511" t="s">
        <v>203</v>
      </c>
      <c r="D81" s="512">
        <v>2</v>
      </c>
      <c r="E81" s="513">
        <v>166010.79487999997</v>
      </c>
      <c r="F81" s="514">
        <f t="shared" si="0"/>
        <v>332021.58975999994</v>
      </c>
    </row>
    <row r="82" spans="1:6" x14ac:dyDescent="0.3">
      <c r="A82" s="509" t="s">
        <v>358</v>
      </c>
      <c r="B82" s="510" t="s">
        <v>237</v>
      </c>
      <c r="C82" s="511" t="s">
        <v>203</v>
      </c>
      <c r="D82" s="512">
        <v>6</v>
      </c>
      <c r="E82" s="513">
        <v>37673.352639999997</v>
      </c>
      <c r="F82" s="514">
        <f t="shared" si="0"/>
        <v>226040.11583999998</v>
      </c>
    </row>
    <row r="83" spans="1:6" x14ac:dyDescent="0.3">
      <c r="A83" s="509" t="s">
        <v>359</v>
      </c>
      <c r="B83" s="510" t="s">
        <v>238</v>
      </c>
      <c r="C83" s="511" t="s">
        <v>203</v>
      </c>
      <c r="D83" s="512">
        <v>2</v>
      </c>
      <c r="E83" s="513">
        <v>68195.860319999992</v>
      </c>
      <c r="F83" s="514">
        <f t="shared" si="0"/>
        <v>136391.72063999998</v>
      </c>
    </row>
    <row r="84" spans="1:6" x14ac:dyDescent="0.3">
      <c r="A84" s="509" t="s">
        <v>360</v>
      </c>
      <c r="B84" s="510" t="s">
        <v>239</v>
      </c>
      <c r="C84" s="511" t="s">
        <v>203</v>
      </c>
      <c r="D84" s="512">
        <v>2</v>
      </c>
      <c r="E84" s="513">
        <v>55909.521919999992</v>
      </c>
      <c r="F84" s="514">
        <f t="shared" si="0"/>
        <v>111819.04383999998</v>
      </c>
    </row>
    <row r="85" spans="1:6" x14ac:dyDescent="0.3">
      <c r="A85" s="509" t="s">
        <v>361</v>
      </c>
      <c r="B85" s="510" t="s">
        <v>600</v>
      </c>
      <c r="C85" s="511" t="s">
        <v>203</v>
      </c>
      <c r="D85" s="512">
        <v>2</v>
      </c>
      <c r="E85" s="513">
        <v>31272.696</v>
      </c>
      <c r="F85" s="514">
        <f t="shared" si="0"/>
        <v>62545.392</v>
      </c>
    </row>
    <row r="86" spans="1:6" x14ac:dyDescent="0.3">
      <c r="A86" s="509" t="s">
        <v>362</v>
      </c>
      <c r="B86" s="510" t="s">
        <v>363</v>
      </c>
      <c r="C86" s="511" t="s">
        <v>203</v>
      </c>
      <c r="D86" s="512">
        <v>2</v>
      </c>
      <c r="E86" s="513">
        <v>204432.55391999998</v>
      </c>
      <c r="F86" s="514">
        <f t="shared" si="0"/>
        <v>408865.10783999995</v>
      </c>
    </row>
    <row r="87" spans="1:6" x14ac:dyDescent="0.3">
      <c r="A87" s="509" t="s">
        <v>364</v>
      </c>
      <c r="B87" s="510" t="s">
        <v>242</v>
      </c>
      <c r="C87" s="511" t="s">
        <v>205</v>
      </c>
      <c r="D87" s="512">
        <v>50</v>
      </c>
      <c r="E87" s="513">
        <v>7425.2606399999986</v>
      </c>
      <c r="F87" s="514">
        <f t="shared" si="0"/>
        <v>371263.03199999995</v>
      </c>
    </row>
    <row r="88" spans="1:6" x14ac:dyDescent="0.3">
      <c r="A88" s="509" t="s">
        <v>365</v>
      </c>
      <c r="B88" s="510" t="s">
        <v>243</v>
      </c>
      <c r="C88" s="511" t="s">
        <v>205</v>
      </c>
      <c r="D88" s="512">
        <v>20</v>
      </c>
      <c r="E88" s="513">
        <v>7425.2606399999986</v>
      </c>
      <c r="F88" s="514">
        <f t="shared" si="0"/>
        <v>148505.21279999998</v>
      </c>
    </row>
    <row r="89" spans="1:6" x14ac:dyDescent="0.3">
      <c r="A89" s="509" t="s">
        <v>366</v>
      </c>
      <c r="B89" s="510" t="s">
        <v>244</v>
      </c>
      <c r="C89" s="511" t="s">
        <v>205</v>
      </c>
      <c r="D89" s="512">
        <v>50</v>
      </c>
      <c r="E89" s="513">
        <v>6316.9063999999998</v>
      </c>
      <c r="F89" s="514">
        <f t="shared" si="0"/>
        <v>315845.32</v>
      </c>
    </row>
    <row r="90" spans="1:6" x14ac:dyDescent="0.3">
      <c r="A90" s="509" t="s">
        <v>367</v>
      </c>
      <c r="B90" s="510" t="s">
        <v>494</v>
      </c>
      <c r="C90" s="511" t="s">
        <v>205</v>
      </c>
      <c r="D90" s="512">
        <v>15</v>
      </c>
      <c r="E90" s="513">
        <v>6013.98</v>
      </c>
      <c r="F90" s="514">
        <f t="shared" si="0"/>
        <v>90209.7</v>
      </c>
    </row>
    <row r="91" spans="1:6" x14ac:dyDescent="0.3">
      <c r="A91" s="509" t="s">
        <v>368</v>
      </c>
      <c r="B91" s="510" t="s">
        <v>495</v>
      </c>
      <c r="C91" s="511" t="s">
        <v>205</v>
      </c>
      <c r="D91" s="512">
        <v>15</v>
      </c>
      <c r="E91" s="513">
        <v>946.19951999999989</v>
      </c>
      <c r="F91" s="514">
        <f t="shared" si="0"/>
        <v>14192.992799999998</v>
      </c>
    </row>
    <row r="92" spans="1:6" x14ac:dyDescent="0.3">
      <c r="A92" s="509" t="s">
        <v>369</v>
      </c>
      <c r="B92" s="510" t="s">
        <v>496</v>
      </c>
      <c r="C92" s="511" t="s">
        <v>205</v>
      </c>
      <c r="D92" s="512">
        <v>10</v>
      </c>
      <c r="E92" s="513">
        <v>946.19951999999989</v>
      </c>
      <c r="F92" s="514">
        <f t="shared" si="0"/>
        <v>9461.9951999999994</v>
      </c>
    </row>
    <row r="93" spans="1:6" x14ac:dyDescent="0.3">
      <c r="A93" s="509" t="s">
        <v>370</v>
      </c>
      <c r="B93" s="510" t="s">
        <v>248</v>
      </c>
      <c r="C93" s="511" t="s">
        <v>205</v>
      </c>
      <c r="D93" s="512">
        <v>1</v>
      </c>
      <c r="E93" s="513">
        <v>3066.6843199999994</v>
      </c>
      <c r="F93" s="514">
        <f t="shared" ref="F93:F163" si="4">+E93*D93</f>
        <v>3066.6843199999994</v>
      </c>
    </row>
    <row r="94" spans="1:6" x14ac:dyDescent="0.3">
      <c r="A94" s="509" t="s">
        <v>371</v>
      </c>
      <c r="B94" s="510" t="s">
        <v>497</v>
      </c>
      <c r="C94" s="511" t="s">
        <v>203</v>
      </c>
      <c r="D94" s="512">
        <v>200</v>
      </c>
      <c r="E94" s="513">
        <v>169.2824</v>
      </c>
      <c r="F94" s="514">
        <f t="shared" si="4"/>
        <v>33856.479999999996</v>
      </c>
    </row>
    <row r="95" spans="1:6" x14ac:dyDescent="0.3">
      <c r="A95" s="509" t="s">
        <v>372</v>
      </c>
      <c r="B95" s="510" t="s">
        <v>250</v>
      </c>
      <c r="C95" s="511" t="s">
        <v>203</v>
      </c>
      <c r="D95" s="512">
        <v>200</v>
      </c>
      <c r="E95" s="513">
        <v>147.89935999999997</v>
      </c>
      <c r="F95" s="514">
        <f t="shared" si="4"/>
        <v>29579.871999999996</v>
      </c>
    </row>
    <row r="96" spans="1:6" x14ac:dyDescent="0.3">
      <c r="A96" s="509" t="s">
        <v>373</v>
      </c>
      <c r="B96" s="510" t="s">
        <v>251</v>
      </c>
      <c r="C96" s="511" t="s">
        <v>203</v>
      </c>
      <c r="D96" s="512">
        <v>25</v>
      </c>
      <c r="E96" s="513">
        <v>80.186399999999992</v>
      </c>
      <c r="F96" s="514">
        <f t="shared" si="4"/>
        <v>2004.6599999999999</v>
      </c>
    </row>
    <row r="97" spans="1:7" x14ac:dyDescent="0.3">
      <c r="A97" s="509" t="s">
        <v>374</v>
      </c>
      <c r="B97" s="510" t="s">
        <v>252</v>
      </c>
      <c r="C97" s="511" t="s">
        <v>203</v>
      </c>
      <c r="D97" s="512">
        <v>100</v>
      </c>
      <c r="E97" s="513">
        <v>67.712959999999995</v>
      </c>
      <c r="F97" s="514">
        <f t="shared" si="4"/>
        <v>6771.2959999999994</v>
      </c>
    </row>
    <row r="98" spans="1:7" x14ac:dyDescent="0.3">
      <c r="A98" s="509" t="s">
        <v>375</v>
      </c>
      <c r="B98" s="510" t="s">
        <v>601</v>
      </c>
      <c r="C98" s="511" t="s">
        <v>203</v>
      </c>
      <c r="D98" s="512">
        <v>10</v>
      </c>
      <c r="E98" s="513">
        <v>20160.642879999996</v>
      </c>
      <c r="F98" s="514">
        <f t="shared" si="4"/>
        <v>201606.42879999997</v>
      </c>
    </row>
    <row r="99" spans="1:7" x14ac:dyDescent="0.3">
      <c r="A99" s="509" t="s">
        <v>376</v>
      </c>
      <c r="B99" s="510" t="s">
        <v>254</v>
      </c>
      <c r="C99" s="511" t="s">
        <v>203</v>
      </c>
      <c r="D99" s="512">
        <v>35</v>
      </c>
      <c r="E99" s="513">
        <v>4410.2519999999995</v>
      </c>
      <c r="F99" s="514">
        <f t="shared" si="4"/>
        <v>154358.81999999998</v>
      </c>
    </row>
    <row r="100" spans="1:7" x14ac:dyDescent="0.3">
      <c r="A100" s="509" t="s">
        <v>377</v>
      </c>
      <c r="B100" s="510" t="s">
        <v>255</v>
      </c>
      <c r="C100" s="511" t="s">
        <v>203</v>
      </c>
      <c r="D100" s="512">
        <v>1</v>
      </c>
      <c r="E100" s="513">
        <v>34747.439999999995</v>
      </c>
      <c r="F100" s="514">
        <f t="shared" si="4"/>
        <v>34747.439999999995</v>
      </c>
    </row>
    <row r="101" spans="1:7" x14ac:dyDescent="0.3">
      <c r="A101" s="509" t="s">
        <v>378</v>
      </c>
      <c r="B101" s="510" t="s">
        <v>256</v>
      </c>
      <c r="C101" s="511" t="s">
        <v>257</v>
      </c>
      <c r="D101" s="512">
        <v>2</v>
      </c>
      <c r="E101" s="513">
        <v>11849.768</v>
      </c>
      <c r="F101" s="514">
        <f t="shared" si="4"/>
        <v>23699.536</v>
      </c>
    </row>
    <row r="102" spans="1:7" x14ac:dyDescent="0.3">
      <c r="A102" s="509" t="s">
        <v>379</v>
      </c>
      <c r="B102" s="510" t="s">
        <v>258</v>
      </c>
      <c r="C102" s="511" t="s">
        <v>257</v>
      </c>
      <c r="D102" s="512">
        <v>2</v>
      </c>
      <c r="E102" s="513">
        <v>6165.4431999999997</v>
      </c>
      <c r="F102" s="514">
        <f t="shared" si="4"/>
        <v>12330.886399999999</v>
      </c>
    </row>
    <row r="103" spans="1:7" x14ac:dyDescent="0.3">
      <c r="A103" s="509" t="s">
        <v>380</v>
      </c>
      <c r="B103" s="510" t="s">
        <v>602</v>
      </c>
      <c r="C103" s="511" t="s">
        <v>203</v>
      </c>
      <c r="D103" s="512">
        <v>100</v>
      </c>
      <c r="E103" s="513">
        <v>801.86399999999992</v>
      </c>
      <c r="F103" s="514">
        <f t="shared" si="4"/>
        <v>80186.399999999994</v>
      </c>
    </row>
    <row r="104" spans="1:7" x14ac:dyDescent="0.3">
      <c r="A104" s="509" t="s">
        <v>381</v>
      </c>
      <c r="B104" s="510" t="s">
        <v>499</v>
      </c>
      <c r="C104" s="511" t="s">
        <v>204</v>
      </c>
      <c r="D104" s="512">
        <v>1</v>
      </c>
      <c r="E104" s="513">
        <v>445480</v>
      </c>
      <c r="F104" s="514">
        <f t="shared" si="4"/>
        <v>445480</v>
      </c>
    </row>
    <row r="105" spans="1:7" s="499" customFormat="1" x14ac:dyDescent="0.3">
      <c r="A105" s="503" t="s">
        <v>382</v>
      </c>
      <c r="B105" s="504" t="s">
        <v>603</v>
      </c>
      <c r="C105" s="505"/>
      <c r="D105" s="506"/>
      <c r="E105" s="518"/>
      <c r="F105" s="519"/>
    </row>
    <row r="106" spans="1:7" x14ac:dyDescent="0.3">
      <c r="A106" s="509" t="s">
        <v>383</v>
      </c>
      <c r="B106" s="510" t="s">
        <v>290</v>
      </c>
      <c r="C106" s="511" t="s">
        <v>205</v>
      </c>
      <c r="D106" s="512">
        <v>8769</v>
      </c>
      <c r="E106" s="513">
        <v>12208</v>
      </c>
      <c r="F106" s="537">
        <f>+E106*D106</f>
        <v>107051952</v>
      </c>
    </row>
    <row r="107" spans="1:7" x14ac:dyDescent="0.3">
      <c r="A107" s="509" t="s">
        <v>384</v>
      </c>
      <c r="B107" s="510" t="s">
        <v>292</v>
      </c>
      <c r="C107" s="511" t="s">
        <v>205</v>
      </c>
      <c r="D107" s="512">
        <v>8769</v>
      </c>
      <c r="E107" s="513">
        <v>4410.2519999999995</v>
      </c>
      <c r="F107" s="537">
        <f t="shared" si="4"/>
        <v>38673499.787999995</v>
      </c>
    </row>
    <row r="108" spans="1:7" x14ac:dyDescent="0.3">
      <c r="A108" s="509" t="s">
        <v>385</v>
      </c>
      <c r="B108" s="510" t="s">
        <v>294</v>
      </c>
      <c r="C108" s="511" t="s">
        <v>205</v>
      </c>
      <c r="D108" s="512">
        <v>2000</v>
      </c>
      <c r="E108" s="513">
        <v>1719.5527999999999</v>
      </c>
      <c r="F108" s="514">
        <f t="shared" si="4"/>
        <v>3439105.6</v>
      </c>
      <c r="G108" s="538"/>
    </row>
    <row r="109" spans="1:7" x14ac:dyDescent="0.3">
      <c r="A109" s="509" t="s">
        <v>386</v>
      </c>
      <c r="B109" s="510" t="s">
        <v>296</v>
      </c>
      <c r="C109" s="511" t="s">
        <v>203</v>
      </c>
      <c r="D109" s="512">
        <v>700</v>
      </c>
      <c r="E109" s="513">
        <v>4632.9919999999993</v>
      </c>
      <c r="F109" s="514">
        <f t="shared" si="4"/>
        <v>3243094.3999999994</v>
      </c>
    </row>
    <row r="110" spans="1:7" x14ac:dyDescent="0.3">
      <c r="A110" s="509" t="s">
        <v>387</v>
      </c>
      <c r="B110" s="510" t="s">
        <v>298</v>
      </c>
      <c r="C110" s="511" t="s">
        <v>203</v>
      </c>
      <c r="D110" s="512">
        <v>700</v>
      </c>
      <c r="E110" s="513">
        <v>7243.5047999999997</v>
      </c>
      <c r="F110" s="514">
        <f t="shared" si="4"/>
        <v>5070453.3599999994</v>
      </c>
    </row>
    <row r="111" spans="1:7" x14ac:dyDescent="0.3">
      <c r="A111" s="509" t="s">
        <v>388</v>
      </c>
      <c r="B111" s="510" t="s">
        <v>218</v>
      </c>
      <c r="C111" s="511" t="s">
        <v>205</v>
      </c>
      <c r="D111" s="512">
        <v>8769</v>
      </c>
      <c r="E111" s="513">
        <v>2672.8799999999997</v>
      </c>
      <c r="F111" s="514">
        <f t="shared" si="4"/>
        <v>23438484.719999999</v>
      </c>
    </row>
    <row r="112" spans="1:7" x14ac:dyDescent="0.3">
      <c r="A112" s="509" t="s">
        <v>389</v>
      </c>
      <c r="B112" s="510" t="s">
        <v>202</v>
      </c>
      <c r="C112" s="511" t="s">
        <v>205</v>
      </c>
      <c r="D112" s="512">
        <f>+D117</f>
        <v>5000</v>
      </c>
      <c r="E112" s="513">
        <v>258.3784</v>
      </c>
      <c r="F112" s="514">
        <f t="shared" si="4"/>
        <v>1291892</v>
      </c>
    </row>
    <row r="113" spans="1:7" x14ac:dyDescent="0.3">
      <c r="A113" s="509" t="s">
        <v>390</v>
      </c>
      <c r="B113" s="510" t="s">
        <v>484</v>
      </c>
      <c r="C113" s="511" t="s">
        <v>203</v>
      </c>
      <c r="D113" s="512">
        <v>128</v>
      </c>
      <c r="E113" s="513">
        <v>15146.32</v>
      </c>
      <c r="F113" s="514">
        <f t="shared" si="4"/>
        <v>1938728.96</v>
      </c>
      <c r="G113" s="538"/>
    </row>
    <row r="114" spans="1:7" x14ac:dyDescent="0.3">
      <c r="A114" s="509" t="s">
        <v>391</v>
      </c>
      <c r="B114" s="510" t="s">
        <v>593</v>
      </c>
      <c r="C114" s="511" t="s">
        <v>203</v>
      </c>
      <c r="D114" s="512">
        <v>128</v>
      </c>
      <c r="E114" s="513">
        <v>5078.4719999999988</v>
      </c>
      <c r="F114" s="514">
        <f t="shared" si="4"/>
        <v>650044.41599999985</v>
      </c>
    </row>
    <row r="115" spans="1:7" x14ac:dyDescent="0.3">
      <c r="A115" s="509" t="s">
        <v>392</v>
      </c>
      <c r="B115" s="510" t="s">
        <v>486</v>
      </c>
      <c r="C115" s="511" t="s">
        <v>203</v>
      </c>
      <c r="D115" s="512">
        <v>128</v>
      </c>
      <c r="E115" s="513">
        <v>26728.799999999999</v>
      </c>
      <c r="F115" s="517">
        <f t="shared" ref="F115:F120" si="5">+D115*E115</f>
        <v>3421286.3999999999</v>
      </c>
    </row>
    <row r="116" spans="1:7" x14ac:dyDescent="0.3">
      <c r="A116" s="509" t="s">
        <v>393</v>
      </c>
      <c r="B116" s="510" t="s">
        <v>222</v>
      </c>
      <c r="C116" s="511" t="s">
        <v>205</v>
      </c>
      <c r="D116" s="512">
        <v>2500</v>
      </c>
      <c r="E116" s="513">
        <v>22274</v>
      </c>
      <c r="F116" s="517">
        <f t="shared" si="5"/>
        <v>55685000</v>
      </c>
    </row>
    <row r="117" spans="1:7" x14ac:dyDescent="0.3">
      <c r="A117" s="509" t="s">
        <v>394</v>
      </c>
      <c r="B117" s="510" t="s">
        <v>223</v>
      </c>
      <c r="C117" s="511" t="s">
        <v>205</v>
      </c>
      <c r="D117" s="512">
        <v>5000</v>
      </c>
      <c r="E117" s="513">
        <v>4454.8</v>
      </c>
      <c r="F117" s="517">
        <f t="shared" si="5"/>
        <v>22274000</v>
      </c>
    </row>
    <row r="118" spans="1:7" x14ac:dyDescent="0.3">
      <c r="A118" s="509" t="s">
        <v>395</v>
      </c>
      <c r="B118" s="510" t="s">
        <v>275</v>
      </c>
      <c r="C118" s="511" t="s">
        <v>205</v>
      </c>
      <c r="D118" s="512">
        <v>100</v>
      </c>
      <c r="E118" s="513">
        <v>35638.400000000001</v>
      </c>
      <c r="F118" s="517">
        <f t="shared" si="5"/>
        <v>3563840</v>
      </c>
    </row>
    <row r="119" spans="1:7" x14ac:dyDescent="0.3">
      <c r="A119" s="509" t="s">
        <v>396</v>
      </c>
      <c r="B119" s="510" t="s">
        <v>276</v>
      </c>
      <c r="C119" s="511" t="s">
        <v>205</v>
      </c>
      <c r="D119" s="512">
        <v>200</v>
      </c>
      <c r="E119" s="513">
        <v>26728.799999999999</v>
      </c>
      <c r="F119" s="517">
        <f t="shared" si="5"/>
        <v>5345760</v>
      </c>
    </row>
    <row r="120" spans="1:7" x14ac:dyDescent="0.3">
      <c r="A120" s="509" t="s">
        <v>397</v>
      </c>
      <c r="B120" s="510" t="s">
        <v>311</v>
      </c>
      <c r="C120" s="511" t="s">
        <v>203</v>
      </c>
      <c r="D120" s="512">
        <v>128</v>
      </c>
      <c r="E120" s="513">
        <v>44548</v>
      </c>
      <c r="F120" s="517">
        <f t="shared" si="5"/>
        <v>5702144</v>
      </c>
    </row>
    <row r="121" spans="1:7" s="499" customFormat="1" x14ac:dyDescent="0.3">
      <c r="A121" s="503" t="s">
        <v>398</v>
      </c>
      <c r="B121" s="535" t="s">
        <v>604</v>
      </c>
      <c r="C121" s="535"/>
      <c r="D121" s="535"/>
      <c r="E121" s="535"/>
      <c r="F121" s="536"/>
    </row>
    <row r="122" spans="1:7" x14ac:dyDescent="0.3">
      <c r="A122" s="509" t="s">
        <v>399</v>
      </c>
      <c r="B122" s="510" t="s">
        <v>290</v>
      </c>
      <c r="C122" s="511" t="s">
        <v>205</v>
      </c>
      <c r="D122" s="512">
        <v>8821</v>
      </c>
      <c r="E122" s="513">
        <v>12208</v>
      </c>
      <c r="F122" s="537">
        <f>+E122*D122</f>
        <v>107686768</v>
      </c>
      <c r="G122" s="538"/>
    </row>
    <row r="123" spans="1:7" x14ac:dyDescent="0.3">
      <c r="A123" s="509" t="s">
        <v>400</v>
      </c>
      <c r="B123" s="510" t="s">
        <v>292</v>
      </c>
      <c r="C123" s="511" t="s">
        <v>205</v>
      </c>
      <c r="D123" s="512">
        <v>8821</v>
      </c>
      <c r="E123" s="513">
        <v>4410.2519999999995</v>
      </c>
      <c r="F123" s="537">
        <f t="shared" si="4"/>
        <v>38902832.891999997</v>
      </c>
    </row>
    <row r="124" spans="1:7" x14ac:dyDescent="0.3">
      <c r="A124" s="509" t="s">
        <v>401</v>
      </c>
      <c r="B124" s="510" t="s">
        <v>294</v>
      </c>
      <c r="C124" s="511" t="s">
        <v>205</v>
      </c>
      <c r="D124" s="512">
        <v>1500</v>
      </c>
      <c r="E124" s="513">
        <v>1719.5527999999999</v>
      </c>
      <c r="F124" s="514">
        <f t="shared" si="4"/>
        <v>2579329.1999999997</v>
      </c>
    </row>
    <row r="125" spans="1:7" x14ac:dyDescent="0.3">
      <c r="A125" s="509" t="s">
        <v>402</v>
      </c>
      <c r="B125" s="510" t="s">
        <v>216</v>
      </c>
      <c r="C125" s="511" t="s">
        <v>203</v>
      </c>
      <c r="D125" s="512">
        <v>625</v>
      </c>
      <c r="E125" s="513">
        <v>4632.9919999999993</v>
      </c>
      <c r="F125" s="514">
        <f t="shared" si="4"/>
        <v>2895619.9999999995</v>
      </c>
    </row>
    <row r="126" spans="1:7" x14ac:dyDescent="0.3">
      <c r="A126" s="509" t="s">
        <v>403</v>
      </c>
      <c r="B126" s="510" t="s">
        <v>298</v>
      </c>
      <c r="C126" s="511" t="s">
        <v>203</v>
      </c>
      <c r="D126" s="512">
        <v>625</v>
      </c>
      <c r="E126" s="513">
        <v>7243.5047999999997</v>
      </c>
      <c r="F126" s="514">
        <f t="shared" si="4"/>
        <v>4527190.5</v>
      </c>
    </row>
    <row r="127" spans="1:7" x14ac:dyDescent="0.3">
      <c r="A127" s="509" t="s">
        <v>404</v>
      </c>
      <c r="B127" s="510" t="s">
        <v>218</v>
      </c>
      <c r="C127" s="511" t="s">
        <v>205</v>
      </c>
      <c r="D127" s="512">
        <v>8821</v>
      </c>
      <c r="E127" s="513">
        <v>2672.8799999999997</v>
      </c>
      <c r="F127" s="514">
        <f t="shared" si="4"/>
        <v>23577474.479999997</v>
      </c>
      <c r="G127" s="539"/>
    </row>
    <row r="128" spans="1:7" x14ac:dyDescent="0.3">
      <c r="A128" s="509" t="s">
        <v>405</v>
      </c>
      <c r="B128" s="510" t="s">
        <v>202</v>
      </c>
      <c r="C128" s="511" t="s">
        <v>205</v>
      </c>
      <c r="D128" s="512">
        <f>+D133</f>
        <v>6000</v>
      </c>
      <c r="E128" s="513">
        <v>258.3784</v>
      </c>
      <c r="F128" s="514">
        <f t="shared" si="4"/>
        <v>1550270.4</v>
      </c>
    </row>
    <row r="129" spans="1:6" x14ac:dyDescent="0.3">
      <c r="A129" s="509" t="s">
        <v>406</v>
      </c>
      <c r="B129" s="510" t="s">
        <v>596</v>
      </c>
      <c r="C129" s="511" t="s">
        <v>203</v>
      </c>
      <c r="D129" s="512">
        <v>117</v>
      </c>
      <c r="E129" s="513">
        <v>15146.32</v>
      </c>
      <c r="F129" s="514">
        <f t="shared" si="4"/>
        <v>1772119.44</v>
      </c>
    </row>
    <row r="130" spans="1:6" x14ac:dyDescent="0.3">
      <c r="A130" s="509" t="s">
        <v>407</v>
      </c>
      <c r="B130" s="510" t="s">
        <v>593</v>
      </c>
      <c r="C130" s="511" t="s">
        <v>203</v>
      </c>
      <c r="D130" s="512">
        <v>117</v>
      </c>
      <c r="E130" s="513">
        <v>5078.4719999999988</v>
      </c>
      <c r="F130" s="514">
        <f t="shared" si="4"/>
        <v>594181.22399999981</v>
      </c>
    </row>
    <row r="131" spans="1:6" x14ac:dyDescent="0.3">
      <c r="A131" s="509" t="s">
        <v>408</v>
      </c>
      <c r="B131" s="510" t="s">
        <v>486</v>
      </c>
      <c r="C131" s="511" t="s">
        <v>203</v>
      </c>
      <c r="D131" s="512">
        <v>117</v>
      </c>
      <c r="E131" s="513">
        <v>26728.799999999999</v>
      </c>
      <c r="F131" s="517">
        <f t="shared" ref="F131:F142" si="6">+D131*E131</f>
        <v>3127269.6</v>
      </c>
    </row>
    <row r="132" spans="1:6" x14ac:dyDescent="0.3">
      <c r="A132" s="509" t="s">
        <v>409</v>
      </c>
      <c r="B132" s="510" t="s">
        <v>222</v>
      </c>
      <c r="C132" s="511" t="s">
        <v>205</v>
      </c>
      <c r="D132" s="512">
        <v>1500</v>
      </c>
      <c r="E132" s="513">
        <v>22274</v>
      </c>
      <c r="F132" s="517">
        <f t="shared" si="6"/>
        <v>33411000</v>
      </c>
    </row>
    <row r="133" spans="1:6" x14ac:dyDescent="0.3">
      <c r="A133" s="509" t="s">
        <v>410</v>
      </c>
      <c r="B133" s="510" t="s">
        <v>223</v>
      </c>
      <c r="C133" s="511" t="s">
        <v>205</v>
      </c>
      <c r="D133" s="512">
        <v>6000</v>
      </c>
      <c r="E133" s="513">
        <v>2672.8799999999997</v>
      </c>
      <c r="F133" s="517">
        <f t="shared" si="6"/>
        <v>16037279.999999998</v>
      </c>
    </row>
    <row r="134" spans="1:6" x14ac:dyDescent="0.3">
      <c r="A134" s="509" t="s">
        <v>411</v>
      </c>
      <c r="B134" s="510" t="s">
        <v>311</v>
      </c>
      <c r="C134" s="511" t="s">
        <v>203</v>
      </c>
      <c r="D134" s="512">
        <v>117</v>
      </c>
      <c r="E134" s="513">
        <v>44548</v>
      </c>
      <c r="F134" s="517">
        <f t="shared" si="6"/>
        <v>5212116</v>
      </c>
    </row>
    <row r="135" spans="1:6" x14ac:dyDescent="0.3">
      <c r="A135" s="509" t="s">
        <v>412</v>
      </c>
      <c r="B135" s="510" t="s">
        <v>269</v>
      </c>
      <c r="C135" s="511" t="s">
        <v>204</v>
      </c>
      <c r="D135" s="512">
        <v>4</v>
      </c>
      <c r="E135" s="513">
        <v>2545600</v>
      </c>
      <c r="F135" s="517">
        <f t="shared" si="6"/>
        <v>10182400</v>
      </c>
    </row>
    <row r="136" spans="1:6" x14ac:dyDescent="0.3">
      <c r="A136" s="509" t="s">
        <v>413</v>
      </c>
      <c r="B136" s="510" t="s">
        <v>276</v>
      </c>
      <c r="C136" s="511" t="s">
        <v>205</v>
      </c>
      <c r="D136" s="512">
        <v>110</v>
      </c>
      <c r="E136" s="513">
        <v>35638.400000000001</v>
      </c>
      <c r="F136" s="517">
        <f t="shared" si="6"/>
        <v>3920224</v>
      </c>
    </row>
    <row r="137" spans="1:6" x14ac:dyDescent="0.3">
      <c r="A137" s="509" t="s">
        <v>414</v>
      </c>
      <c r="B137" s="510" t="s">
        <v>275</v>
      </c>
      <c r="C137" s="511" t="s">
        <v>205</v>
      </c>
      <c r="D137" s="512">
        <v>60</v>
      </c>
      <c r="E137" s="513">
        <v>26728.799999999999</v>
      </c>
      <c r="F137" s="517">
        <f t="shared" si="6"/>
        <v>1603728</v>
      </c>
    </row>
    <row r="138" spans="1:6" x14ac:dyDescent="0.3">
      <c r="A138" s="509" t="s">
        <v>415</v>
      </c>
      <c r="B138" s="510" t="s">
        <v>270</v>
      </c>
      <c r="C138" s="511" t="s">
        <v>204</v>
      </c>
      <c r="D138" s="512">
        <v>1</v>
      </c>
      <c r="E138" s="513">
        <v>2316496</v>
      </c>
      <c r="F138" s="517">
        <f t="shared" si="6"/>
        <v>2316496</v>
      </c>
    </row>
    <row r="139" spans="1:6" x14ac:dyDescent="0.3">
      <c r="A139" s="509" t="s">
        <v>416</v>
      </c>
      <c r="B139" s="510" t="s">
        <v>271</v>
      </c>
      <c r="C139" s="511" t="s">
        <v>205</v>
      </c>
      <c r="D139" s="512">
        <v>6</v>
      </c>
      <c r="E139" s="513">
        <v>8018.6399999999994</v>
      </c>
      <c r="F139" s="517">
        <f t="shared" si="6"/>
        <v>48111.839999999997</v>
      </c>
    </row>
    <row r="140" spans="1:6" x14ac:dyDescent="0.3">
      <c r="A140" s="509" t="s">
        <v>417</v>
      </c>
      <c r="B140" s="510" t="s">
        <v>605</v>
      </c>
      <c r="C140" s="511" t="s">
        <v>418</v>
      </c>
      <c r="D140" s="512">
        <v>30</v>
      </c>
      <c r="E140" s="513">
        <v>381840</v>
      </c>
      <c r="F140" s="517">
        <f t="shared" si="6"/>
        <v>11455200</v>
      </c>
    </row>
    <row r="141" spans="1:6" x14ac:dyDescent="0.3">
      <c r="A141" s="509" t="s">
        <v>419</v>
      </c>
      <c r="B141" s="510" t="s">
        <v>606</v>
      </c>
      <c r="C141" s="511" t="s">
        <v>418</v>
      </c>
      <c r="D141" s="512">
        <v>30</v>
      </c>
      <c r="E141" s="513">
        <v>534576</v>
      </c>
      <c r="F141" s="517">
        <f t="shared" si="6"/>
        <v>16037280</v>
      </c>
    </row>
    <row r="142" spans="1:6" ht="19.5" thickBot="1" x14ac:dyDescent="0.35">
      <c r="A142" s="520" t="s">
        <v>421</v>
      </c>
      <c r="B142" s="521" t="s">
        <v>504</v>
      </c>
      <c r="C142" s="522" t="s">
        <v>418</v>
      </c>
      <c r="D142" s="523">
        <v>60</v>
      </c>
      <c r="E142" s="524">
        <v>254560</v>
      </c>
      <c r="F142" s="525">
        <f t="shared" si="6"/>
        <v>15273600</v>
      </c>
    </row>
    <row r="143" spans="1:6" x14ac:dyDescent="0.3">
      <c r="A143" s="526"/>
      <c r="B143" s="527"/>
      <c r="D143" s="528"/>
      <c r="E143" s="489"/>
      <c r="F143" s="529"/>
    </row>
    <row r="144" spans="1:6" x14ac:dyDescent="0.3">
      <c r="A144" s="526"/>
      <c r="B144" s="527"/>
      <c r="D144" s="528"/>
      <c r="E144" s="489"/>
      <c r="F144" s="529"/>
    </row>
    <row r="145" spans="1:6" x14ac:dyDescent="0.3">
      <c r="A145" s="530" t="s">
        <v>569</v>
      </c>
      <c r="B145" s="530"/>
      <c r="D145" s="528"/>
      <c r="E145" s="489"/>
      <c r="F145" s="529"/>
    </row>
    <row r="146" spans="1:6" ht="19.5" thickBot="1" x14ac:dyDescent="0.35">
      <c r="A146" s="526"/>
      <c r="B146" s="527"/>
      <c r="D146" s="528"/>
      <c r="E146" s="489"/>
      <c r="F146" s="529"/>
    </row>
    <row r="147" spans="1:6" s="499" customFormat="1" x14ac:dyDescent="0.3">
      <c r="A147" s="532" t="s">
        <v>513</v>
      </c>
      <c r="B147" s="540" t="s">
        <v>591</v>
      </c>
      <c r="C147" s="541"/>
      <c r="D147" s="541"/>
      <c r="E147" s="541"/>
      <c r="F147" s="542"/>
    </row>
    <row r="148" spans="1:6" s="499" customFormat="1" x14ac:dyDescent="0.3">
      <c r="A148" s="503" t="s">
        <v>423</v>
      </c>
      <c r="B148" s="543" t="s">
        <v>505</v>
      </c>
      <c r="C148" s="544"/>
      <c r="D148" s="544"/>
      <c r="E148" s="544"/>
      <c r="F148" s="545"/>
    </row>
    <row r="149" spans="1:6" x14ac:dyDescent="0.3">
      <c r="A149" s="509" t="s">
        <v>424</v>
      </c>
      <c r="B149" s="510" t="s">
        <v>292</v>
      </c>
      <c r="C149" s="511" t="s">
        <v>205</v>
      </c>
      <c r="D149" s="512">
        <v>1500</v>
      </c>
      <c r="E149" s="513">
        <v>4410.2519999999995</v>
      </c>
      <c r="F149" s="514">
        <f t="shared" si="4"/>
        <v>6615377.9999999991</v>
      </c>
    </row>
    <row r="150" spans="1:6" x14ac:dyDescent="0.3">
      <c r="A150" s="509" t="s">
        <v>425</v>
      </c>
      <c r="B150" s="510" t="s">
        <v>506</v>
      </c>
      <c r="C150" s="511" t="s">
        <v>205</v>
      </c>
      <c r="D150" s="512">
        <f>9*3</f>
        <v>27</v>
      </c>
      <c r="E150" s="513">
        <v>8767.0463999999993</v>
      </c>
      <c r="F150" s="514">
        <f t="shared" si="4"/>
        <v>236710.25279999999</v>
      </c>
    </row>
    <row r="151" spans="1:6" x14ac:dyDescent="0.3">
      <c r="A151" s="509" t="s">
        <v>426</v>
      </c>
      <c r="B151" s="510" t="s">
        <v>231</v>
      </c>
      <c r="C151" s="511" t="s">
        <v>205</v>
      </c>
      <c r="D151" s="512">
        <v>27</v>
      </c>
      <c r="E151" s="513">
        <v>6236.7199999999993</v>
      </c>
      <c r="F151" s="514">
        <f t="shared" si="4"/>
        <v>168391.43999999997</v>
      </c>
    </row>
    <row r="152" spans="1:6" x14ac:dyDescent="0.3">
      <c r="A152" s="509" t="s">
        <v>427</v>
      </c>
      <c r="B152" s="510" t="s">
        <v>232</v>
      </c>
      <c r="C152" s="511" t="s">
        <v>203</v>
      </c>
      <c r="D152" s="512">
        <v>3</v>
      </c>
      <c r="E152" s="513">
        <v>12389.689759999997</v>
      </c>
      <c r="F152" s="514">
        <f t="shared" si="4"/>
        <v>37169.069279999996</v>
      </c>
    </row>
    <row r="153" spans="1:6" x14ac:dyDescent="0.3">
      <c r="A153" s="509" t="s">
        <v>428</v>
      </c>
      <c r="B153" s="510" t="s">
        <v>233</v>
      </c>
      <c r="C153" s="511" t="s">
        <v>203</v>
      </c>
      <c r="D153" s="512">
        <v>3</v>
      </c>
      <c r="E153" s="513">
        <v>12389.689759999997</v>
      </c>
      <c r="F153" s="514">
        <f t="shared" si="4"/>
        <v>37169.069279999996</v>
      </c>
    </row>
    <row r="154" spans="1:6" x14ac:dyDescent="0.3">
      <c r="A154" s="509" t="s">
        <v>429</v>
      </c>
      <c r="B154" s="510" t="s">
        <v>234</v>
      </c>
      <c r="C154" s="511" t="s">
        <v>203</v>
      </c>
      <c r="D154" s="512">
        <v>12</v>
      </c>
      <c r="E154" s="513">
        <v>4454.8</v>
      </c>
      <c r="F154" s="514">
        <f t="shared" si="4"/>
        <v>53457.600000000006</v>
      </c>
    </row>
    <row r="155" spans="1:6" x14ac:dyDescent="0.3">
      <c r="A155" s="509" t="s">
        <v>430</v>
      </c>
      <c r="B155" s="510" t="s">
        <v>235</v>
      </c>
      <c r="C155" s="511" t="s">
        <v>203</v>
      </c>
      <c r="D155" s="512">
        <v>3</v>
      </c>
      <c r="E155" s="513">
        <v>220512.59999999998</v>
      </c>
      <c r="F155" s="514">
        <f t="shared" si="4"/>
        <v>661537.79999999993</v>
      </c>
    </row>
    <row r="156" spans="1:6" x14ac:dyDescent="0.3">
      <c r="A156" s="509" t="s">
        <v>431</v>
      </c>
      <c r="B156" s="510" t="s">
        <v>236</v>
      </c>
      <c r="C156" s="511" t="s">
        <v>203</v>
      </c>
      <c r="D156" s="512">
        <v>6</v>
      </c>
      <c r="E156" s="513">
        <v>166010.79487999997</v>
      </c>
      <c r="F156" s="514">
        <f t="shared" si="4"/>
        <v>996064.76927999989</v>
      </c>
    </row>
    <row r="157" spans="1:6" x14ac:dyDescent="0.3">
      <c r="A157" s="509" t="s">
        <v>432</v>
      </c>
      <c r="B157" s="510" t="s">
        <v>237</v>
      </c>
      <c r="C157" s="511" t="s">
        <v>203</v>
      </c>
      <c r="D157" s="512">
        <f>6*3</f>
        <v>18</v>
      </c>
      <c r="E157" s="513">
        <v>37673.352639999997</v>
      </c>
      <c r="F157" s="514">
        <f t="shared" si="4"/>
        <v>678120.34751999995</v>
      </c>
    </row>
    <row r="158" spans="1:6" x14ac:dyDescent="0.3">
      <c r="A158" s="509" t="s">
        <v>433</v>
      </c>
      <c r="B158" s="510" t="s">
        <v>238</v>
      </c>
      <c r="C158" s="511" t="s">
        <v>203</v>
      </c>
      <c r="D158" s="512">
        <v>6</v>
      </c>
      <c r="E158" s="513">
        <v>68195.860319999992</v>
      </c>
      <c r="F158" s="514">
        <f t="shared" si="4"/>
        <v>409175.16191999998</v>
      </c>
    </row>
    <row r="159" spans="1:6" x14ac:dyDescent="0.3">
      <c r="A159" s="509" t="s">
        <v>434</v>
      </c>
      <c r="B159" s="510" t="s">
        <v>239</v>
      </c>
      <c r="C159" s="511" t="s">
        <v>203</v>
      </c>
      <c r="D159" s="512">
        <v>6</v>
      </c>
      <c r="E159" s="513">
        <v>55909.521919999992</v>
      </c>
      <c r="F159" s="514">
        <f t="shared" si="4"/>
        <v>335457.13151999994</v>
      </c>
    </row>
    <row r="160" spans="1:6" x14ac:dyDescent="0.3">
      <c r="A160" s="509" t="s">
        <v>435</v>
      </c>
      <c r="B160" s="510" t="s">
        <v>600</v>
      </c>
      <c r="C160" s="511" t="s">
        <v>203</v>
      </c>
      <c r="D160" s="512">
        <v>6</v>
      </c>
      <c r="E160" s="513">
        <v>31272.696</v>
      </c>
      <c r="F160" s="514">
        <f t="shared" si="4"/>
        <v>187636.17600000001</v>
      </c>
    </row>
    <row r="161" spans="1:6" x14ac:dyDescent="0.3">
      <c r="A161" s="509" t="s">
        <v>436</v>
      </c>
      <c r="B161" s="510" t="s">
        <v>363</v>
      </c>
      <c r="C161" s="511" t="s">
        <v>203</v>
      </c>
      <c r="D161" s="512">
        <v>6</v>
      </c>
      <c r="E161" s="513">
        <v>204432.55391999998</v>
      </c>
      <c r="F161" s="514">
        <f t="shared" si="4"/>
        <v>1226595.3235199999</v>
      </c>
    </row>
    <row r="162" spans="1:6" x14ac:dyDescent="0.3">
      <c r="A162" s="509" t="s">
        <v>437</v>
      </c>
      <c r="B162" s="510" t="s">
        <v>242</v>
      </c>
      <c r="C162" s="511" t="s">
        <v>205</v>
      </c>
      <c r="D162" s="512">
        <v>200</v>
      </c>
      <c r="E162" s="513">
        <v>7425.2606399999986</v>
      </c>
      <c r="F162" s="514">
        <f t="shared" si="4"/>
        <v>1485052.1279999998</v>
      </c>
    </row>
    <row r="163" spans="1:6" x14ac:dyDescent="0.3">
      <c r="A163" s="509" t="s">
        <v>438</v>
      </c>
      <c r="B163" s="510" t="s">
        <v>243</v>
      </c>
      <c r="C163" s="511" t="s">
        <v>205</v>
      </c>
      <c r="D163" s="512">
        <v>80</v>
      </c>
      <c r="E163" s="513">
        <v>7425.2606399999986</v>
      </c>
      <c r="F163" s="514">
        <f t="shared" si="4"/>
        <v>594020.85119999992</v>
      </c>
    </row>
    <row r="164" spans="1:6" x14ac:dyDescent="0.3">
      <c r="A164" s="509" t="s">
        <v>439</v>
      </c>
      <c r="B164" s="510" t="s">
        <v>244</v>
      </c>
      <c r="C164" s="511" t="s">
        <v>205</v>
      </c>
      <c r="D164" s="512">
        <v>150</v>
      </c>
      <c r="E164" s="513">
        <v>6316.9063999999998</v>
      </c>
      <c r="F164" s="514">
        <f t="shared" ref="F164:F180" si="7">+E164*D164</f>
        <v>947535.96</v>
      </c>
    </row>
    <row r="165" spans="1:6" x14ac:dyDescent="0.3">
      <c r="A165" s="509" t="s">
        <v>440</v>
      </c>
      <c r="B165" s="510" t="s">
        <v>245</v>
      </c>
      <c r="C165" s="511" t="s">
        <v>205</v>
      </c>
      <c r="D165" s="512">
        <v>100</v>
      </c>
      <c r="E165" s="513">
        <v>6316.9063999999998</v>
      </c>
      <c r="F165" s="514">
        <f t="shared" si="7"/>
        <v>631690.64</v>
      </c>
    </row>
    <row r="166" spans="1:6" x14ac:dyDescent="0.3">
      <c r="A166" s="509" t="s">
        <v>441</v>
      </c>
      <c r="B166" s="510" t="s">
        <v>246</v>
      </c>
      <c r="C166" s="511" t="s">
        <v>205</v>
      </c>
      <c r="D166" s="512">
        <v>100</v>
      </c>
      <c r="E166" s="513">
        <v>946.19951999999989</v>
      </c>
      <c r="F166" s="514">
        <f t="shared" si="7"/>
        <v>94619.95199999999</v>
      </c>
    </row>
    <row r="167" spans="1:6" x14ac:dyDescent="0.3">
      <c r="A167" s="509" t="s">
        <v>442</v>
      </c>
      <c r="B167" s="510" t="s">
        <v>247</v>
      </c>
      <c r="C167" s="511" t="s">
        <v>205</v>
      </c>
      <c r="D167" s="512">
        <v>100</v>
      </c>
      <c r="E167" s="513">
        <v>946.19951999999989</v>
      </c>
      <c r="F167" s="514">
        <f t="shared" si="7"/>
        <v>94619.95199999999</v>
      </c>
    </row>
    <row r="168" spans="1:6" x14ac:dyDescent="0.3">
      <c r="A168" s="509" t="s">
        <v>443</v>
      </c>
      <c r="B168" s="510" t="s">
        <v>248</v>
      </c>
      <c r="C168" s="511" t="s">
        <v>205</v>
      </c>
      <c r="D168" s="512">
        <v>100</v>
      </c>
      <c r="E168" s="513">
        <v>3066.6843199999994</v>
      </c>
      <c r="F168" s="514">
        <f t="shared" si="7"/>
        <v>306668.43199999991</v>
      </c>
    </row>
    <row r="169" spans="1:6" x14ac:dyDescent="0.3">
      <c r="A169" s="509" t="s">
        <v>444</v>
      </c>
      <c r="B169" s="510" t="s">
        <v>249</v>
      </c>
      <c r="C169" s="511" t="s">
        <v>203</v>
      </c>
      <c r="D169" s="512">
        <v>200</v>
      </c>
      <c r="E169" s="513">
        <v>169.2824</v>
      </c>
      <c r="F169" s="514">
        <f t="shared" si="7"/>
        <v>33856.479999999996</v>
      </c>
    </row>
    <row r="170" spans="1:6" x14ac:dyDescent="0.3">
      <c r="A170" s="509" t="s">
        <v>445</v>
      </c>
      <c r="B170" s="510" t="s">
        <v>250</v>
      </c>
      <c r="C170" s="511" t="s">
        <v>203</v>
      </c>
      <c r="D170" s="512">
        <v>200</v>
      </c>
      <c r="E170" s="513">
        <v>147.89935999999997</v>
      </c>
      <c r="F170" s="514">
        <f t="shared" si="7"/>
        <v>29579.871999999996</v>
      </c>
    </row>
    <row r="171" spans="1:6" x14ac:dyDescent="0.3">
      <c r="A171" s="509" t="s">
        <v>446</v>
      </c>
      <c r="B171" s="510" t="s">
        <v>251</v>
      </c>
      <c r="C171" s="511" t="s">
        <v>203</v>
      </c>
      <c r="D171" s="512">
        <v>100</v>
      </c>
      <c r="E171" s="513">
        <v>80.186399999999992</v>
      </c>
      <c r="F171" s="514">
        <f t="shared" si="7"/>
        <v>8018.6399999999994</v>
      </c>
    </row>
    <row r="172" spans="1:6" x14ac:dyDescent="0.3">
      <c r="A172" s="509" t="s">
        <v>447</v>
      </c>
      <c r="B172" s="510" t="s">
        <v>252</v>
      </c>
      <c r="C172" s="511" t="s">
        <v>203</v>
      </c>
      <c r="D172" s="512">
        <v>100</v>
      </c>
      <c r="E172" s="513">
        <v>67.712959999999995</v>
      </c>
      <c r="F172" s="514">
        <f t="shared" si="7"/>
        <v>6771.2959999999994</v>
      </c>
    </row>
    <row r="173" spans="1:6" x14ac:dyDescent="0.3">
      <c r="A173" s="509" t="s">
        <v>448</v>
      </c>
      <c r="B173" s="510" t="s">
        <v>607</v>
      </c>
      <c r="C173" s="511" t="s">
        <v>203</v>
      </c>
      <c r="D173" s="512">
        <v>10</v>
      </c>
      <c r="E173" s="513">
        <v>20160.642879999996</v>
      </c>
      <c r="F173" s="514">
        <f t="shared" si="7"/>
        <v>201606.42879999997</v>
      </c>
    </row>
    <row r="174" spans="1:6" x14ac:dyDescent="0.3">
      <c r="A174" s="509" t="s">
        <v>449</v>
      </c>
      <c r="B174" s="510" t="s">
        <v>254</v>
      </c>
      <c r="C174" s="511" t="s">
        <v>203</v>
      </c>
      <c r="D174" s="512">
        <v>100</v>
      </c>
      <c r="E174" s="513">
        <v>4410.2519999999995</v>
      </c>
      <c r="F174" s="514">
        <f t="shared" si="7"/>
        <v>441025.19999999995</v>
      </c>
    </row>
    <row r="175" spans="1:6" x14ac:dyDescent="0.3">
      <c r="A175" s="509" t="s">
        <v>450</v>
      </c>
      <c r="B175" s="510" t="s">
        <v>255</v>
      </c>
      <c r="C175" s="511" t="s">
        <v>203</v>
      </c>
      <c r="D175" s="512">
        <v>3</v>
      </c>
      <c r="E175" s="513">
        <v>34747.439999999995</v>
      </c>
      <c r="F175" s="514">
        <f t="shared" si="7"/>
        <v>104242.31999999998</v>
      </c>
    </row>
    <row r="176" spans="1:6" x14ac:dyDescent="0.3">
      <c r="A176" s="509" t="s">
        <v>451</v>
      </c>
      <c r="B176" s="510" t="s">
        <v>256</v>
      </c>
      <c r="C176" s="511" t="s">
        <v>257</v>
      </c>
      <c r="D176" s="512">
        <v>2</v>
      </c>
      <c r="E176" s="513">
        <v>11849.768</v>
      </c>
      <c r="F176" s="514">
        <f t="shared" si="7"/>
        <v>23699.536</v>
      </c>
    </row>
    <row r="177" spans="1:6" x14ac:dyDescent="0.3">
      <c r="A177" s="509" t="s">
        <v>452</v>
      </c>
      <c r="B177" s="510" t="s">
        <v>272</v>
      </c>
      <c r="C177" s="511" t="s">
        <v>257</v>
      </c>
      <c r="D177" s="512">
        <v>15</v>
      </c>
      <c r="E177" s="513">
        <v>24946.879999999997</v>
      </c>
      <c r="F177" s="514">
        <f t="shared" si="7"/>
        <v>374203.19999999995</v>
      </c>
    </row>
    <row r="178" spans="1:6" x14ac:dyDescent="0.3">
      <c r="A178" s="509" t="s">
        <v>453</v>
      </c>
      <c r="B178" s="510" t="s">
        <v>258</v>
      </c>
      <c r="C178" s="511" t="s">
        <v>257</v>
      </c>
      <c r="D178" s="512">
        <v>6</v>
      </c>
      <c r="E178" s="513">
        <v>6165.4431999999997</v>
      </c>
      <c r="F178" s="514">
        <f t="shared" si="7"/>
        <v>36992.659199999995</v>
      </c>
    </row>
    <row r="179" spans="1:6" x14ac:dyDescent="0.3">
      <c r="A179" s="509" t="s">
        <v>454</v>
      </c>
      <c r="B179" s="510" t="s">
        <v>455</v>
      </c>
      <c r="C179" s="511" t="s">
        <v>204</v>
      </c>
      <c r="D179" s="512">
        <v>245</v>
      </c>
      <c r="E179" s="513">
        <v>26728.799999999999</v>
      </c>
      <c r="F179" s="514">
        <f t="shared" si="7"/>
        <v>6548556</v>
      </c>
    </row>
    <row r="180" spans="1:6" ht="19.5" thickBot="1" x14ac:dyDescent="0.35">
      <c r="A180" s="520" t="s">
        <v>456</v>
      </c>
      <c r="B180" s="521" t="s">
        <v>260</v>
      </c>
      <c r="C180" s="522" t="s">
        <v>204</v>
      </c>
      <c r="D180" s="523">
        <v>1</v>
      </c>
      <c r="E180" s="524">
        <v>440939</v>
      </c>
      <c r="F180" s="546">
        <f t="shared" si="7"/>
        <v>440939</v>
      </c>
    </row>
    <row r="181" spans="1:6" s="551" customFormat="1" ht="19.5" thickBot="1" x14ac:dyDescent="0.35">
      <c r="A181" s="547" t="s">
        <v>562</v>
      </c>
      <c r="B181" s="548"/>
      <c r="C181" s="548"/>
      <c r="D181" s="548"/>
      <c r="E181" s="549"/>
      <c r="F181" s="550">
        <f ca="1">SUM(F21:F181)</f>
        <v>0</v>
      </c>
    </row>
    <row r="182" spans="1:6" s="551" customFormat="1" x14ac:dyDescent="0.3">
      <c r="A182" s="552" t="s">
        <v>514</v>
      </c>
      <c r="B182" s="540" t="s">
        <v>608</v>
      </c>
      <c r="C182" s="541"/>
      <c r="D182" s="541"/>
      <c r="E182" s="541"/>
      <c r="F182" s="542"/>
    </row>
    <row r="183" spans="1:6" x14ac:dyDescent="0.3">
      <c r="A183" s="509" t="s">
        <v>609</v>
      </c>
      <c r="B183" s="510" t="s">
        <v>515</v>
      </c>
      <c r="C183" s="511" t="s">
        <v>203</v>
      </c>
      <c r="D183" s="511">
        <v>1</v>
      </c>
      <c r="E183" s="513">
        <v>9556932</v>
      </c>
      <c r="F183" s="514">
        <f t="shared" ref="F183:F211" si="8">+E183*D183</f>
        <v>9556932</v>
      </c>
    </row>
    <row r="184" spans="1:6" x14ac:dyDescent="0.3">
      <c r="A184" s="509" t="s">
        <v>610</v>
      </c>
      <c r="B184" s="510" t="s">
        <v>611</v>
      </c>
      <c r="C184" s="511" t="s">
        <v>203</v>
      </c>
      <c r="D184" s="511">
        <v>2</v>
      </c>
      <c r="E184" s="513">
        <v>8850310</v>
      </c>
      <c r="F184" s="514">
        <f t="shared" si="8"/>
        <v>17700620</v>
      </c>
    </row>
    <row r="185" spans="1:6" x14ac:dyDescent="0.3">
      <c r="A185" s="509" t="s">
        <v>612</v>
      </c>
      <c r="B185" s="510" t="s">
        <v>613</v>
      </c>
      <c r="C185" s="511" t="s">
        <v>203</v>
      </c>
      <c r="D185" s="511">
        <v>1</v>
      </c>
      <c r="E185" s="513">
        <v>13790000</v>
      </c>
      <c r="F185" s="514">
        <f t="shared" si="8"/>
        <v>13790000</v>
      </c>
    </row>
    <row r="186" spans="1:6" x14ac:dyDescent="0.3">
      <c r="A186" s="509" t="s">
        <v>614</v>
      </c>
      <c r="B186" s="510" t="s">
        <v>518</v>
      </c>
      <c r="C186" s="511" t="s">
        <v>203</v>
      </c>
      <c r="D186" s="511">
        <v>1</v>
      </c>
      <c r="E186" s="513">
        <v>285863</v>
      </c>
      <c r="F186" s="514">
        <f t="shared" si="8"/>
        <v>285863</v>
      </c>
    </row>
    <row r="187" spans="1:6" x14ac:dyDescent="0.3">
      <c r="A187" s="509" t="s">
        <v>615</v>
      </c>
      <c r="B187" s="510" t="s">
        <v>616</v>
      </c>
      <c r="C187" s="511" t="s">
        <v>203</v>
      </c>
      <c r="D187" s="511">
        <v>12</v>
      </c>
      <c r="E187" s="513">
        <v>22600</v>
      </c>
      <c r="F187" s="514">
        <f t="shared" si="8"/>
        <v>271200</v>
      </c>
    </row>
    <row r="188" spans="1:6" x14ac:dyDescent="0.3">
      <c r="A188" s="509" t="s">
        <v>617</v>
      </c>
      <c r="B188" s="510" t="s">
        <v>618</v>
      </c>
      <c r="C188" s="511" t="s">
        <v>203</v>
      </c>
      <c r="D188" s="511">
        <v>2</v>
      </c>
      <c r="E188" s="513">
        <v>533610</v>
      </c>
      <c r="F188" s="514">
        <f t="shared" si="8"/>
        <v>1067220</v>
      </c>
    </row>
    <row r="189" spans="1:6" x14ac:dyDescent="0.3">
      <c r="A189" s="509" t="s">
        <v>619</v>
      </c>
      <c r="B189" s="510" t="s">
        <v>520</v>
      </c>
      <c r="C189" s="511" t="s">
        <v>205</v>
      </c>
      <c r="D189" s="511">
        <v>30</v>
      </c>
      <c r="E189" s="513">
        <v>9786</v>
      </c>
      <c r="F189" s="514">
        <f t="shared" si="8"/>
        <v>293580</v>
      </c>
    </row>
    <row r="190" spans="1:6" x14ac:dyDescent="0.3">
      <c r="A190" s="509" t="s">
        <v>620</v>
      </c>
      <c r="B190" s="510" t="s">
        <v>521</v>
      </c>
      <c r="C190" s="511" t="s">
        <v>203</v>
      </c>
      <c r="D190" s="511">
        <v>1</v>
      </c>
      <c r="E190" s="513">
        <v>509369</v>
      </c>
      <c r="F190" s="514">
        <f t="shared" si="8"/>
        <v>509369</v>
      </c>
    </row>
    <row r="191" spans="1:6" x14ac:dyDescent="0.3">
      <c r="A191" s="509" t="s">
        <v>621</v>
      </c>
      <c r="B191" s="510" t="s">
        <v>622</v>
      </c>
      <c r="C191" s="511" t="s">
        <v>205</v>
      </c>
      <c r="D191" s="511">
        <v>1000</v>
      </c>
      <c r="E191" s="513">
        <v>31609</v>
      </c>
      <c r="F191" s="514">
        <f t="shared" si="8"/>
        <v>31609000</v>
      </c>
    </row>
    <row r="192" spans="1:6" s="551" customFormat="1" x14ac:dyDescent="0.3">
      <c r="A192" s="553"/>
      <c r="B192" s="554" t="s">
        <v>522</v>
      </c>
      <c r="C192" s="555" t="s">
        <v>458</v>
      </c>
      <c r="D192" s="556">
        <v>1</v>
      </c>
      <c r="E192" s="556"/>
      <c r="F192" s="557"/>
    </row>
    <row r="193" spans="1:6" s="551" customFormat="1" x14ac:dyDescent="0.3">
      <c r="A193" s="553"/>
      <c r="B193" s="554" t="s">
        <v>623</v>
      </c>
      <c r="C193" s="555"/>
      <c r="D193" s="556"/>
      <c r="E193" s="556"/>
      <c r="F193" s="557"/>
    </row>
    <row r="194" spans="1:6" s="551" customFormat="1" x14ac:dyDescent="0.3">
      <c r="A194" s="553"/>
      <c r="B194" s="554" t="s">
        <v>539</v>
      </c>
      <c r="C194" s="555"/>
      <c r="D194" s="556"/>
      <c r="E194" s="556"/>
      <c r="F194" s="557"/>
    </row>
    <row r="195" spans="1:6" s="551" customFormat="1" x14ac:dyDescent="0.3">
      <c r="A195" s="553"/>
      <c r="B195" s="554" t="s">
        <v>540</v>
      </c>
      <c r="C195" s="555"/>
      <c r="D195" s="556"/>
      <c r="E195" s="556"/>
      <c r="F195" s="557"/>
    </row>
    <row r="196" spans="1:6" s="551" customFormat="1" x14ac:dyDescent="0.3">
      <c r="A196" s="553"/>
      <c r="B196" s="554" t="s">
        <v>624</v>
      </c>
      <c r="C196" s="555"/>
      <c r="D196" s="556"/>
      <c r="E196" s="556"/>
      <c r="F196" s="557"/>
    </row>
    <row r="197" spans="1:6" s="551" customFormat="1" x14ac:dyDescent="0.3">
      <c r="A197" s="553"/>
      <c r="B197" s="554" t="s">
        <v>625</v>
      </c>
      <c r="C197" s="555"/>
      <c r="D197" s="556"/>
      <c r="E197" s="556"/>
      <c r="F197" s="557"/>
    </row>
    <row r="198" spans="1:6" s="551" customFormat="1" x14ac:dyDescent="0.3">
      <c r="A198" s="553"/>
      <c r="B198" s="554" t="s">
        <v>541</v>
      </c>
      <c r="C198" s="555"/>
      <c r="D198" s="556"/>
      <c r="E198" s="556"/>
      <c r="F198" s="557"/>
    </row>
    <row r="199" spans="1:6" s="551" customFormat="1" x14ac:dyDescent="0.3">
      <c r="A199" s="553"/>
      <c r="B199" s="554" t="s">
        <v>626</v>
      </c>
      <c r="C199" s="555"/>
      <c r="D199" s="556"/>
      <c r="E199" s="556"/>
      <c r="F199" s="557"/>
    </row>
    <row r="200" spans="1:6" s="551" customFormat="1" x14ac:dyDescent="0.3">
      <c r="A200" s="553"/>
      <c r="B200" s="554" t="s">
        <v>627</v>
      </c>
      <c r="C200" s="555"/>
      <c r="D200" s="556"/>
      <c r="E200" s="556"/>
      <c r="F200" s="557"/>
    </row>
    <row r="201" spans="1:6" x14ac:dyDescent="0.3">
      <c r="A201" s="509" t="s">
        <v>628</v>
      </c>
      <c r="B201" s="510" t="s">
        <v>523</v>
      </c>
      <c r="C201" s="511" t="s">
        <v>524</v>
      </c>
      <c r="D201" s="511">
        <v>5</v>
      </c>
      <c r="E201" s="513">
        <v>20580</v>
      </c>
      <c r="F201" s="514">
        <f t="shared" si="8"/>
        <v>102900</v>
      </c>
    </row>
    <row r="202" spans="1:6" x14ac:dyDescent="0.3">
      <c r="A202" s="509" t="s">
        <v>629</v>
      </c>
      <c r="B202" s="510" t="s">
        <v>525</v>
      </c>
      <c r="C202" s="511" t="s">
        <v>203</v>
      </c>
      <c r="D202" s="511">
        <v>2</v>
      </c>
      <c r="E202" s="513">
        <v>112000</v>
      </c>
      <c r="F202" s="514">
        <f t="shared" si="8"/>
        <v>224000</v>
      </c>
    </row>
    <row r="203" spans="1:6" x14ac:dyDescent="0.3">
      <c r="A203" s="509" t="s">
        <v>630</v>
      </c>
      <c r="B203" s="510" t="s">
        <v>631</v>
      </c>
      <c r="C203" s="511" t="s">
        <v>527</v>
      </c>
      <c r="D203" s="511">
        <v>50</v>
      </c>
      <c r="E203" s="513">
        <v>1400</v>
      </c>
      <c r="F203" s="514">
        <f t="shared" si="8"/>
        <v>70000</v>
      </c>
    </row>
    <row r="204" spans="1:6" x14ac:dyDescent="0.3">
      <c r="A204" s="509" t="s">
        <v>632</v>
      </c>
      <c r="B204" s="510" t="s">
        <v>528</v>
      </c>
      <c r="C204" s="511" t="s">
        <v>203</v>
      </c>
      <c r="D204" s="511">
        <v>2</v>
      </c>
      <c r="E204" s="513">
        <v>525987</v>
      </c>
      <c r="F204" s="514">
        <f t="shared" si="8"/>
        <v>1051974</v>
      </c>
    </row>
    <row r="205" spans="1:6" x14ac:dyDescent="0.3">
      <c r="A205" s="509" t="s">
        <v>633</v>
      </c>
      <c r="B205" s="510" t="s">
        <v>529</v>
      </c>
      <c r="C205" s="511" t="s">
        <v>203</v>
      </c>
      <c r="D205" s="511">
        <v>5</v>
      </c>
      <c r="E205" s="513">
        <v>2800</v>
      </c>
      <c r="F205" s="514">
        <f t="shared" si="8"/>
        <v>14000</v>
      </c>
    </row>
    <row r="206" spans="1:6" x14ac:dyDescent="0.3">
      <c r="A206" s="509" t="s">
        <v>634</v>
      </c>
      <c r="B206" s="510" t="s">
        <v>530</v>
      </c>
      <c r="C206" s="511" t="s">
        <v>458</v>
      </c>
      <c r="D206" s="511">
        <v>1</v>
      </c>
      <c r="E206" s="513">
        <v>1400000</v>
      </c>
      <c r="F206" s="514">
        <f t="shared" si="8"/>
        <v>1400000</v>
      </c>
    </row>
    <row r="207" spans="1:6" x14ac:dyDescent="0.3">
      <c r="A207" s="509" t="s">
        <v>635</v>
      </c>
      <c r="B207" s="510" t="s">
        <v>531</v>
      </c>
      <c r="C207" s="511" t="s">
        <v>458</v>
      </c>
      <c r="D207" s="511">
        <v>1</v>
      </c>
      <c r="E207" s="513">
        <v>420000</v>
      </c>
      <c r="F207" s="514">
        <f>+E207*D207</f>
        <v>420000</v>
      </c>
    </row>
    <row r="208" spans="1:6" x14ac:dyDescent="0.3">
      <c r="A208" s="509" t="s">
        <v>636</v>
      </c>
      <c r="B208" s="510" t="s">
        <v>532</v>
      </c>
      <c r="C208" s="511" t="s">
        <v>458</v>
      </c>
      <c r="D208" s="511">
        <v>1</v>
      </c>
      <c r="E208" s="513">
        <v>140000</v>
      </c>
      <c r="F208" s="514">
        <f>+E208*D208</f>
        <v>140000</v>
      </c>
    </row>
    <row r="209" spans="1:9" x14ac:dyDescent="0.3">
      <c r="A209" s="509" t="s">
        <v>637</v>
      </c>
      <c r="B209" s="510" t="s">
        <v>533</v>
      </c>
      <c r="C209" s="511" t="s">
        <v>534</v>
      </c>
      <c r="D209" s="511">
        <v>1</v>
      </c>
      <c r="E209" s="513">
        <v>147000</v>
      </c>
      <c r="F209" s="514">
        <f>+E209*D209</f>
        <v>147000</v>
      </c>
    </row>
    <row r="210" spans="1:9" x14ac:dyDescent="0.3">
      <c r="A210" s="509" t="s">
        <v>638</v>
      </c>
      <c r="B210" s="510" t="s">
        <v>535</v>
      </c>
      <c r="C210" s="511" t="s">
        <v>458</v>
      </c>
      <c r="D210" s="511">
        <v>1</v>
      </c>
      <c r="E210" s="513">
        <v>91000</v>
      </c>
      <c r="F210" s="514">
        <f>+E210*D210</f>
        <v>91000</v>
      </c>
    </row>
    <row r="211" spans="1:9" x14ac:dyDescent="0.3">
      <c r="A211" s="509" t="s">
        <v>639</v>
      </c>
      <c r="B211" s="558" t="s">
        <v>457</v>
      </c>
      <c r="C211" s="559" t="s">
        <v>458</v>
      </c>
      <c r="D211" s="560">
        <v>1</v>
      </c>
      <c r="E211" s="513">
        <v>13001450</v>
      </c>
      <c r="F211" s="514">
        <f t="shared" si="8"/>
        <v>13001450</v>
      </c>
    </row>
    <row r="212" spans="1:9" x14ac:dyDescent="0.3">
      <c r="A212" s="509"/>
      <c r="B212" s="510" t="s">
        <v>536</v>
      </c>
      <c r="C212" s="511"/>
      <c r="D212" s="511"/>
      <c r="E212" s="513"/>
      <c r="F212" s="514"/>
    </row>
    <row r="213" spans="1:9" x14ac:dyDescent="0.3">
      <c r="A213" s="509"/>
      <c r="B213" s="510" t="s">
        <v>537</v>
      </c>
      <c r="C213" s="511"/>
      <c r="D213" s="511"/>
      <c r="E213" s="513"/>
      <c r="F213" s="514"/>
    </row>
    <row r="214" spans="1:9" x14ac:dyDescent="0.3">
      <c r="A214" s="509"/>
      <c r="B214" s="510" t="s">
        <v>623</v>
      </c>
      <c r="C214" s="511"/>
      <c r="D214" s="511"/>
      <c r="E214" s="513"/>
      <c r="F214" s="514"/>
    </row>
    <row r="215" spans="1:9" x14ac:dyDescent="0.3">
      <c r="A215" s="509"/>
      <c r="B215" s="510" t="s">
        <v>539</v>
      </c>
      <c r="C215" s="511"/>
      <c r="D215" s="511"/>
      <c r="E215" s="513"/>
      <c r="F215" s="514"/>
    </row>
    <row r="216" spans="1:9" x14ac:dyDescent="0.3">
      <c r="A216" s="509"/>
      <c r="B216" s="510" t="s">
        <v>540</v>
      </c>
      <c r="C216" s="511"/>
      <c r="D216" s="511"/>
      <c r="E216" s="513"/>
      <c r="F216" s="514"/>
    </row>
    <row r="217" spans="1:9" x14ac:dyDescent="0.3">
      <c r="A217" s="509"/>
      <c r="B217" s="510" t="s">
        <v>541</v>
      </c>
      <c r="C217" s="511"/>
      <c r="D217" s="511"/>
      <c r="E217" s="513"/>
      <c r="F217" s="514"/>
    </row>
    <row r="218" spans="1:9" s="551" customFormat="1" ht="19.5" thickBot="1" x14ac:dyDescent="0.35">
      <c r="A218" s="561" t="s">
        <v>563</v>
      </c>
      <c r="B218" s="562"/>
      <c r="C218" s="562"/>
      <c r="D218" s="562"/>
      <c r="E218" s="563"/>
      <c r="F218" s="564">
        <f>SUM(F183:F217)</f>
        <v>91746108</v>
      </c>
    </row>
    <row r="219" spans="1:9" s="551" customFormat="1" x14ac:dyDescent="0.3">
      <c r="A219" s="565"/>
      <c r="B219" s="565"/>
      <c r="C219" s="566"/>
      <c r="D219" s="565"/>
      <c r="E219" s="565"/>
      <c r="F219" s="565"/>
    </row>
    <row r="220" spans="1:9" s="551" customFormat="1" x14ac:dyDescent="0.3">
      <c r="A220" s="565"/>
      <c r="B220" s="566"/>
      <c r="C220" s="566"/>
      <c r="D220" s="565"/>
      <c r="E220" s="565"/>
      <c r="F220" s="565"/>
    </row>
    <row r="221" spans="1:9" s="551" customFormat="1" x14ac:dyDescent="0.3">
      <c r="A221" s="567" t="s">
        <v>570</v>
      </c>
      <c r="B221" s="567"/>
      <c r="C221" s="566"/>
      <c r="D221" s="565"/>
      <c r="E221" s="565"/>
      <c r="F221" s="565"/>
    </row>
    <row r="222" spans="1:9" ht="19.5" thickBot="1" x14ac:dyDescent="0.35">
      <c r="A222" s="526"/>
      <c r="B222" s="527"/>
      <c r="D222" s="568"/>
      <c r="E222" s="489"/>
      <c r="F222" s="569"/>
    </row>
    <row r="223" spans="1:9" s="551" customFormat="1" x14ac:dyDescent="0.3">
      <c r="A223" s="552" t="s">
        <v>543</v>
      </c>
      <c r="B223" s="570" t="s">
        <v>640</v>
      </c>
      <c r="C223" s="571"/>
      <c r="D223" s="571"/>
      <c r="E223" s="571"/>
      <c r="F223" s="572"/>
    </row>
    <row r="224" spans="1:9" s="499" customFormat="1" x14ac:dyDescent="0.3">
      <c r="A224" s="503" t="s">
        <v>288</v>
      </c>
      <c r="B224" s="543" t="s">
        <v>641</v>
      </c>
      <c r="C224" s="544"/>
      <c r="D224" s="544"/>
      <c r="E224" s="544"/>
      <c r="F224" s="545"/>
      <c r="G224" s="573"/>
      <c r="H224" s="574"/>
      <c r="I224" s="575"/>
    </row>
    <row r="225" spans="1:9" x14ac:dyDescent="0.3">
      <c r="A225" s="509" t="s">
        <v>289</v>
      </c>
      <c r="B225" s="510" t="s">
        <v>642</v>
      </c>
      <c r="C225" s="511" t="s">
        <v>26</v>
      </c>
      <c r="D225" s="576">
        <v>30</v>
      </c>
      <c r="E225" s="577">
        <v>450000</v>
      </c>
      <c r="F225" s="517">
        <f>+D225*E225</f>
        <v>13500000</v>
      </c>
      <c r="G225" s="573"/>
      <c r="H225" s="526"/>
      <c r="I225" s="578"/>
    </row>
    <row r="226" spans="1:9" x14ac:dyDescent="0.3">
      <c r="A226" s="509" t="s">
        <v>291</v>
      </c>
      <c r="B226" s="510" t="s">
        <v>643</v>
      </c>
      <c r="C226" s="511" t="s">
        <v>205</v>
      </c>
      <c r="D226" s="576">
        <v>650</v>
      </c>
      <c r="E226" s="577">
        <v>27497.5</v>
      </c>
      <c r="F226" s="517">
        <f t="shared" ref="F226:F294" si="9">+D226*E226</f>
        <v>17873375</v>
      </c>
      <c r="G226" s="573"/>
      <c r="H226" s="526"/>
      <c r="I226" s="578"/>
    </row>
    <row r="227" spans="1:9" x14ac:dyDescent="0.3">
      <c r="A227" s="509" t="s">
        <v>293</v>
      </c>
      <c r="B227" s="510" t="s">
        <v>644</v>
      </c>
      <c r="C227" s="511" t="s">
        <v>205</v>
      </c>
      <c r="D227" s="576">
        <v>200</v>
      </c>
      <c r="E227" s="577">
        <v>5100</v>
      </c>
      <c r="F227" s="517">
        <f t="shared" si="9"/>
        <v>1020000</v>
      </c>
      <c r="G227" s="573"/>
      <c r="H227" s="526"/>
      <c r="I227" s="578"/>
    </row>
    <row r="228" spans="1:9" x14ac:dyDescent="0.3">
      <c r="A228" s="509" t="s">
        <v>295</v>
      </c>
      <c r="B228" s="510" t="s">
        <v>645</v>
      </c>
      <c r="C228" s="511" t="s">
        <v>205</v>
      </c>
      <c r="D228" s="576">
        <v>200</v>
      </c>
      <c r="E228" s="577">
        <v>408</v>
      </c>
      <c r="F228" s="517">
        <f t="shared" si="9"/>
        <v>81600</v>
      </c>
      <c r="G228" s="573"/>
      <c r="H228" s="526"/>
      <c r="I228" s="578"/>
    </row>
    <row r="229" spans="1:9" x14ac:dyDescent="0.3">
      <c r="A229" s="509" t="s">
        <v>297</v>
      </c>
      <c r="B229" s="510" t="s">
        <v>646</v>
      </c>
      <c r="C229" s="511" t="s">
        <v>205</v>
      </c>
      <c r="D229" s="576">
        <v>200</v>
      </c>
      <c r="E229" s="579">
        <v>22274</v>
      </c>
      <c r="F229" s="517">
        <f t="shared" si="9"/>
        <v>4454800</v>
      </c>
      <c r="G229" s="573"/>
      <c r="H229" s="526"/>
      <c r="I229" s="578"/>
    </row>
    <row r="230" spans="1:9" x14ac:dyDescent="0.3">
      <c r="A230" s="509" t="s">
        <v>299</v>
      </c>
      <c r="B230" s="510" t="s">
        <v>647</v>
      </c>
      <c r="C230" s="511" t="s">
        <v>458</v>
      </c>
      <c r="D230" s="576">
        <v>1</v>
      </c>
      <c r="E230" s="579">
        <v>910000</v>
      </c>
      <c r="F230" s="517">
        <f t="shared" si="9"/>
        <v>910000</v>
      </c>
      <c r="G230" s="573"/>
      <c r="H230" s="526"/>
      <c r="I230" s="578"/>
    </row>
    <row r="231" spans="1:9" ht="20.45" customHeight="1" x14ac:dyDescent="0.3">
      <c r="A231" s="509" t="s">
        <v>300</v>
      </c>
      <c r="B231" s="510" t="s">
        <v>648</v>
      </c>
      <c r="C231" s="511" t="s">
        <v>203</v>
      </c>
      <c r="D231" s="576">
        <v>1</v>
      </c>
      <c r="E231" s="580">
        <v>90560.7</v>
      </c>
      <c r="F231" s="517">
        <f t="shared" si="9"/>
        <v>90560.7</v>
      </c>
      <c r="G231" s="573"/>
      <c r="H231" s="526"/>
      <c r="I231" s="578"/>
    </row>
    <row r="232" spans="1:9" ht="37.5" x14ac:dyDescent="0.3">
      <c r="A232" s="509" t="s">
        <v>301</v>
      </c>
      <c r="B232" s="510" t="s">
        <v>649</v>
      </c>
      <c r="C232" s="511" t="s">
        <v>205</v>
      </c>
      <c r="D232" s="576">
        <v>25</v>
      </c>
      <c r="E232" s="580">
        <v>168300</v>
      </c>
      <c r="F232" s="517">
        <f t="shared" si="9"/>
        <v>4207500</v>
      </c>
      <c r="G232" s="573"/>
      <c r="H232" s="526"/>
      <c r="I232" s="578"/>
    </row>
    <row r="233" spans="1:9" x14ac:dyDescent="0.3">
      <c r="A233" s="509" t="s">
        <v>302</v>
      </c>
      <c r="B233" s="510" t="s">
        <v>650</v>
      </c>
      <c r="C233" s="511" t="s">
        <v>205</v>
      </c>
      <c r="D233" s="576">
        <f>30*5</f>
        <v>150</v>
      </c>
      <c r="E233" s="580">
        <v>1667.7</v>
      </c>
      <c r="F233" s="517">
        <f t="shared" si="9"/>
        <v>250155</v>
      </c>
      <c r="G233" s="573"/>
      <c r="H233" s="526"/>
      <c r="I233" s="578"/>
    </row>
    <row r="234" spans="1:9" x14ac:dyDescent="0.3">
      <c r="A234" s="509" t="s">
        <v>303</v>
      </c>
      <c r="B234" s="510" t="s">
        <v>651</v>
      </c>
      <c r="C234" s="511" t="s">
        <v>652</v>
      </c>
      <c r="D234" s="576">
        <v>66</v>
      </c>
      <c r="E234" s="580">
        <v>14620</v>
      </c>
      <c r="F234" s="517">
        <f t="shared" si="9"/>
        <v>964920</v>
      </c>
      <c r="G234" s="573"/>
      <c r="H234" s="526"/>
      <c r="I234" s="578"/>
    </row>
    <row r="235" spans="1:9" x14ac:dyDescent="0.3">
      <c r="A235" s="509" t="s">
        <v>305</v>
      </c>
      <c r="B235" s="510" t="s">
        <v>653</v>
      </c>
      <c r="C235" s="511" t="s">
        <v>257</v>
      </c>
      <c r="D235" s="576">
        <v>50</v>
      </c>
      <c r="E235" s="580">
        <v>5287</v>
      </c>
      <c r="F235" s="517">
        <f t="shared" si="9"/>
        <v>264350</v>
      </c>
      <c r="G235" s="573"/>
      <c r="H235" s="526"/>
      <c r="I235" s="578"/>
    </row>
    <row r="236" spans="1:9" x14ac:dyDescent="0.3">
      <c r="A236" s="509" t="s">
        <v>307</v>
      </c>
      <c r="B236" s="510" t="s">
        <v>654</v>
      </c>
      <c r="C236" s="511" t="s">
        <v>203</v>
      </c>
      <c r="D236" s="576">
        <v>40</v>
      </c>
      <c r="E236" s="580">
        <v>7905</v>
      </c>
      <c r="F236" s="517">
        <f t="shared" si="9"/>
        <v>316200</v>
      </c>
      <c r="G236" s="573"/>
      <c r="H236" s="526"/>
      <c r="I236" s="578"/>
    </row>
    <row r="237" spans="1:9" x14ac:dyDescent="0.3">
      <c r="A237" s="509" t="s">
        <v>308</v>
      </c>
      <c r="B237" s="510" t="s">
        <v>655</v>
      </c>
      <c r="C237" s="511" t="s">
        <v>26</v>
      </c>
      <c r="D237" s="576">
        <v>300</v>
      </c>
      <c r="E237" s="580">
        <v>1487.5</v>
      </c>
      <c r="F237" s="517">
        <f t="shared" si="9"/>
        <v>446250</v>
      </c>
      <c r="G237" s="573"/>
      <c r="H237" s="526"/>
      <c r="I237" s="578"/>
    </row>
    <row r="238" spans="1:9" ht="37.5" x14ac:dyDescent="0.3">
      <c r="A238" s="509" t="s">
        <v>310</v>
      </c>
      <c r="B238" s="510" t="s">
        <v>656</v>
      </c>
      <c r="C238" s="511" t="s">
        <v>458</v>
      </c>
      <c r="D238" s="576">
        <v>1</v>
      </c>
      <c r="E238" s="580">
        <v>1700000</v>
      </c>
      <c r="F238" s="517">
        <f t="shared" si="9"/>
        <v>1700000</v>
      </c>
      <c r="G238" s="573"/>
      <c r="H238" s="526"/>
      <c r="I238" s="578"/>
    </row>
    <row r="239" spans="1:9" x14ac:dyDescent="0.3">
      <c r="A239" s="509" t="s">
        <v>657</v>
      </c>
      <c r="B239" s="510" t="s">
        <v>658</v>
      </c>
      <c r="C239" s="511" t="s">
        <v>203</v>
      </c>
      <c r="D239" s="576">
        <v>150</v>
      </c>
      <c r="E239" s="580">
        <v>8086.9</v>
      </c>
      <c r="F239" s="517">
        <f t="shared" si="9"/>
        <v>1213035</v>
      </c>
      <c r="G239" s="573"/>
      <c r="H239" s="526"/>
      <c r="I239" s="578"/>
    </row>
    <row r="240" spans="1:9" x14ac:dyDescent="0.3">
      <c r="A240" s="509" t="s">
        <v>659</v>
      </c>
      <c r="B240" s="510" t="s">
        <v>660</v>
      </c>
      <c r="C240" s="511" t="s">
        <v>661</v>
      </c>
      <c r="D240" s="576">
        <v>25</v>
      </c>
      <c r="E240" s="580">
        <v>540000</v>
      </c>
      <c r="F240" s="517">
        <f t="shared" si="9"/>
        <v>13500000</v>
      </c>
      <c r="G240" s="573"/>
      <c r="H240" s="526"/>
      <c r="I240" s="578"/>
    </row>
    <row r="241" spans="1:9" s="499" customFormat="1" x14ac:dyDescent="0.3">
      <c r="A241" s="581" t="s">
        <v>312</v>
      </c>
      <c r="B241" s="543" t="s">
        <v>662</v>
      </c>
      <c r="C241" s="544"/>
      <c r="D241" s="544"/>
      <c r="E241" s="544"/>
      <c r="F241" s="545"/>
      <c r="G241" s="573"/>
      <c r="H241" s="526"/>
      <c r="I241" s="578"/>
    </row>
    <row r="242" spans="1:9" ht="37.5" x14ac:dyDescent="0.3">
      <c r="A242" s="509" t="s">
        <v>313</v>
      </c>
      <c r="B242" s="510" t="s">
        <v>663</v>
      </c>
      <c r="C242" s="511" t="s">
        <v>203</v>
      </c>
      <c r="D242" s="576">
        <v>1</v>
      </c>
      <c r="E242" s="577">
        <v>14285700</v>
      </c>
      <c r="F242" s="517">
        <f t="shared" si="9"/>
        <v>14285700</v>
      </c>
      <c r="G242" s="573"/>
      <c r="H242" s="526"/>
      <c r="I242" s="578"/>
    </row>
    <row r="243" spans="1:9" ht="37.5" x14ac:dyDescent="0.3">
      <c r="A243" s="509" t="s">
        <v>314</v>
      </c>
      <c r="B243" s="510" t="s">
        <v>664</v>
      </c>
      <c r="C243" s="511" t="s">
        <v>458</v>
      </c>
      <c r="D243" s="576">
        <v>1</v>
      </c>
      <c r="E243" s="577">
        <v>3000000</v>
      </c>
      <c r="F243" s="517">
        <f t="shared" si="9"/>
        <v>3000000</v>
      </c>
      <c r="G243" s="573"/>
      <c r="H243" s="526"/>
      <c r="I243" s="578"/>
    </row>
    <row r="244" spans="1:9" x14ac:dyDescent="0.3">
      <c r="A244" s="509" t="s">
        <v>315</v>
      </c>
      <c r="B244" s="510" t="s">
        <v>665</v>
      </c>
      <c r="C244" s="511" t="s">
        <v>458</v>
      </c>
      <c r="D244" s="576">
        <v>1</v>
      </c>
      <c r="E244" s="577">
        <v>1000000</v>
      </c>
      <c r="F244" s="517">
        <f t="shared" si="9"/>
        <v>1000000</v>
      </c>
      <c r="G244" s="573"/>
      <c r="H244" s="526"/>
      <c r="I244" s="578"/>
    </row>
    <row r="245" spans="1:9" x14ac:dyDescent="0.3">
      <c r="A245" s="509" t="s">
        <v>316</v>
      </c>
      <c r="B245" s="510" t="s">
        <v>666</v>
      </c>
      <c r="C245" s="511" t="s">
        <v>458</v>
      </c>
      <c r="D245" s="576">
        <v>1</v>
      </c>
      <c r="E245" s="577">
        <v>850000</v>
      </c>
      <c r="F245" s="517">
        <f t="shared" si="9"/>
        <v>850000</v>
      </c>
      <c r="G245" s="573"/>
      <c r="H245" s="526"/>
      <c r="I245" s="578"/>
    </row>
    <row r="246" spans="1:9" x14ac:dyDescent="0.3">
      <c r="A246" s="509" t="s">
        <v>317</v>
      </c>
      <c r="B246" s="510" t="s">
        <v>667</v>
      </c>
      <c r="C246" s="511" t="s">
        <v>205</v>
      </c>
      <c r="D246" s="576">
        <f>8*50</f>
        <v>400</v>
      </c>
      <c r="E246" s="577">
        <v>3303.1</v>
      </c>
      <c r="F246" s="517">
        <f t="shared" si="9"/>
        <v>1321240</v>
      </c>
      <c r="G246" s="573"/>
      <c r="H246" s="526"/>
      <c r="I246" s="578"/>
    </row>
    <row r="247" spans="1:9" x14ac:dyDescent="0.3">
      <c r="A247" s="509" t="s">
        <v>319</v>
      </c>
      <c r="B247" s="510" t="s">
        <v>668</v>
      </c>
      <c r="C247" s="511" t="s">
        <v>458</v>
      </c>
      <c r="D247" s="576">
        <v>1</v>
      </c>
      <c r="E247" s="577">
        <v>1360000</v>
      </c>
      <c r="F247" s="517">
        <f t="shared" si="9"/>
        <v>1360000</v>
      </c>
      <c r="G247" s="573"/>
      <c r="H247" s="526"/>
      <c r="I247" s="578"/>
    </row>
    <row r="248" spans="1:9" ht="37.5" x14ac:dyDescent="0.3">
      <c r="A248" s="509" t="s">
        <v>320</v>
      </c>
      <c r="B248" s="510" t="s">
        <v>669</v>
      </c>
      <c r="C248" s="511" t="s">
        <v>203</v>
      </c>
      <c r="D248" s="576">
        <v>2</v>
      </c>
      <c r="E248" s="577">
        <v>14285700</v>
      </c>
      <c r="F248" s="517">
        <f t="shared" si="9"/>
        <v>28571400</v>
      </c>
      <c r="G248" s="573"/>
      <c r="H248" s="526"/>
      <c r="I248" s="578"/>
    </row>
    <row r="249" spans="1:9" ht="37.5" x14ac:dyDescent="0.3">
      <c r="A249" s="509" t="s">
        <v>321</v>
      </c>
      <c r="B249" s="510" t="s">
        <v>664</v>
      </c>
      <c r="C249" s="511" t="s">
        <v>458</v>
      </c>
      <c r="D249" s="576">
        <v>2</v>
      </c>
      <c r="E249" s="577">
        <v>3000000</v>
      </c>
      <c r="F249" s="517">
        <f t="shared" si="9"/>
        <v>6000000</v>
      </c>
      <c r="G249" s="573"/>
      <c r="H249" s="526"/>
      <c r="I249" s="578"/>
    </row>
    <row r="250" spans="1:9" x14ac:dyDescent="0.3">
      <c r="A250" s="509" t="s">
        <v>322</v>
      </c>
      <c r="B250" s="510" t="s">
        <v>665</v>
      </c>
      <c r="C250" s="511" t="s">
        <v>458</v>
      </c>
      <c r="D250" s="576">
        <v>2</v>
      </c>
      <c r="E250" s="577">
        <v>1000000</v>
      </c>
      <c r="F250" s="517">
        <f t="shared" si="9"/>
        <v>2000000</v>
      </c>
      <c r="G250" s="573"/>
      <c r="H250" s="526"/>
      <c r="I250" s="578"/>
    </row>
    <row r="251" spans="1:9" x14ac:dyDescent="0.3">
      <c r="A251" s="509" t="s">
        <v>323</v>
      </c>
      <c r="B251" s="510" t="s">
        <v>666</v>
      </c>
      <c r="C251" s="511" t="s">
        <v>458</v>
      </c>
      <c r="D251" s="576">
        <v>2</v>
      </c>
      <c r="E251" s="577">
        <v>850000</v>
      </c>
      <c r="F251" s="517">
        <f t="shared" si="9"/>
        <v>1700000</v>
      </c>
      <c r="G251" s="573"/>
      <c r="H251" s="526"/>
      <c r="I251" s="578"/>
    </row>
    <row r="252" spans="1:9" x14ac:dyDescent="0.3">
      <c r="A252" s="509" t="s">
        <v>324</v>
      </c>
      <c r="B252" s="510" t="s">
        <v>667</v>
      </c>
      <c r="C252" s="511" t="s">
        <v>205</v>
      </c>
      <c r="D252" s="576">
        <f>12*44</f>
        <v>528</v>
      </c>
      <c r="E252" s="577">
        <v>3303.1</v>
      </c>
      <c r="F252" s="517">
        <f t="shared" si="9"/>
        <v>1744036.8</v>
      </c>
      <c r="G252" s="573"/>
      <c r="H252" s="526"/>
      <c r="I252" s="578"/>
    </row>
    <row r="253" spans="1:9" x14ac:dyDescent="0.3">
      <c r="A253" s="509" t="s">
        <v>325</v>
      </c>
      <c r="B253" s="510" t="s">
        <v>668</v>
      </c>
      <c r="C253" s="511" t="s">
        <v>458</v>
      </c>
      <c r="D253" s="576">
        <v>2</v>
      </c>
      <c r="E253" s="577">
        <v>1360000</v>
      </c>
      <c r="F253" s="517">
        <f t="shared" si="9"/>
        <v>2720000</v>
      </c>
      <c r="G253" s="573"/>
      <c r="H253" s="526"/>
      <c r="I253" s="578"/>
    </row>
    <row r="254" spans="1:9" x14ac:dyDescent="0.3">
      <c r="A254" s="509" t="s">
        <v>326</v>
      </c>
      <c r="B254" s="510" t="s">
        <v>670</v>
      </c>
      <c r="C254" s="511" t="s">
        <v>26</v>
      </c>
      <c r="D254" s="576">
        <f>6*2+8</f>
        <v>20</v>
      </c>
      <c r="E254" s="577">
        <v>1680000</v>
      </c>
      <c r="F254" s="517">
        <f t="shared" si="9"/>
        <v>33600000</v>
      </c>
      <c r="G254" s="573"/>
      <c r="H254" s="526"/>
      <c r="I254" s="578"/>
    </row>
    <row r="255" spans="1:9" x14ac:dyDescent="0.3">
      <c r="A255" s="509" t="s">
        <v>327</v>
      </c>
      <c r="B255" s="510" t="s">
        <v>671</v>
      </c>
      <c r="C255" s="511" t="s">
        <v>205</v>
      </c>
      <c r="D255" s="582">
        <f>275+200</f>
        <v>475</v>
      </c>
      <c r="E255" s="577">
        <v>27426.1</v>
      </c>
      <c r="F255" s="517">
        <f t="shared" si="9"/>
        <v>13027397.5</v>
      </c>
      <c r="G255" s="573"/>
      <c r="H255" s="526"/>
      <c r="I255" s="578"/>
    </row>
    <row r="256" spans="1:9" x14ac:dyDescent="0.3">
      <c r="A256" s="509" t="s">
        <v>672</v>
      </c>
      <c r="B256" s="510" t="s">
        <v>673</v>
      </c>
      <c r="C256" s="511" t="s">
        <v>205</v>
      </c>
      <c r="D256" s="582">
        <f>50+150+130</f>
        <v>330</v>
      </c>
      <c r="E256" s="577">
        <v>13261.699999999999</v>
      </c>
      <c r="F256" s="517">
        <f t="shared" si="9"/>
        <v>4376361</v>
      </c>
      <c r="G256" s="573"/>
      <c r="H256" s="526"/>
      <c r="I256" s="578"/>
    </row>
    <row r="257" spans="1:9" x14ac:dyDescent="0.3">
      <c r="A257" s="509" t="s">
        <v>674</v>
      </c>
      <c r="B257" s="510" t="s">
        <v>646</v>
      </c>
      <c r="C257" s="511" t="s">
        <v>205</v>
      </c>
      <c r="D257" s="582">
        <v>330</v>
      </c>
      <c r="E257" s="579">
        <v>22274</v>
      </c>
      <c r="F257" s="517">
        <f t="shared" si="9"/>
        <v>7350420</v>
      </c>
      <c r="G257" s="573"/>
      <c r="H257" s="526"/>
      <c r="I257" s="578"/>
    </row>
    <row r="258" spans="1:9" x14ac:dyDescent="0.3">
      <c r="A258" s="509" t="s">
        <v>675</v>
      </c>
      <c r="B258" s="510" t="s">
        <v>676</v>
      </c>
      <c r="C258" s="511" t="s">
        <v>458</v>
      </c>
      <c r="D258" s="576">
        <v>1</v>
      </c>
      <c r="E258" s="579">
        <v>959000</v>
      </c>
      <c r="F258" s="517">
        <f t="shared" si="9"/>
        <v>959000</v>
      </c>
      <c r="G258" s="573"/>
      <c r="H258" s="526"/>
      <c r="I258" s="578"/>
    </row>
    <row r="259" spans="1:9" x14ac:dyDescent="0.3">
      <c r="A259" s="509" t="s">
        <v>677</v>
      </c>
      <c r="B259" s="510" t="s">
        <v>678</v>
      </c>
      <c r="C259" s="511" t="s">
        <v>203</v>
      </c>
      <c r="D259" s="576">
        <v>1</v>
      </c>
      <c r="E259" s="577">
        <v>90560.7</v>
      </c>
      <c r="F259" s="517">
        <f t="shared" si="9"/>
        <v>90560.7</v>
      </c>
      <c r="G259" s="573"/>
      <c r="H259" s="526"/>
      <c r="I259" s="578"/>
    </row>
    <row r="260" spans="1:9" x14ac:dyDescent="0.3">
      <c r="A260" s="509" t="s">
        <v>679</v>
      </c>
      <c r="B260" s="510" t="s">
        <v>680</v>
      </c>
      <c r="C260" s="511" t="s">
        <v>205</v>
      </c>
      <c r="D260" s="576">
        <f>700-250</f>
        <v>450</v>
      </c>
      <c r="E260" s="577">
        <v>5261.5</v>
      </c>
      <c r="F260" s="517">
        <f t="shared" si="9"/>
        <v>2367675</v>
      </c>
      <c r="G260" s="573"/>
      <c r="H260" s="526"/>
      <c r="I260" s="578"/>
    </row>
    <row r="261" spans="1:9" x14ac:dyDescent="0.3">
      <c r="A261" s="509" t="s">
        <v>681</v>
      </c>
      <c r="B261" s="510" t="s">
        <v>682</v>
      </c>
      <c r="C261" s="511" t="s">
        <v>205</v>
      </c>
      <c r="D261" s="576">
        <v>500</v>
      </c>
      <c r="E261" s="577">
        <v>5100</v>
      </c>
      <c r="F261" s="517">
        <f t="shared" si="9"/>
        <v>2550000</v>
      </c>
      <c r="G261" s="573"/>
      <c r="H261" s="526"/>
      <c r="I261" s="578"/>
    </row>
    <row r="262" spans="1:9" x14ac:dyDescent="0.3">
      <c r="A262" s="509" t="s">
        <v>683</v>
      </c>
      <c r="B262" s="510" t="s">
        <v>684</v>
      </c>
      <c r="C262" s="511" t="s">
        <v>205</v>
      </c>
      <c r="D262" s="576">
        <v>30</v>
      </c>
      <c r="E262" s="577">
        <v>21250</v>
      </c>
      <c r="F262" s="517">
        <f t="shared" si="9"/>
        <v>637500</v>
      </c>
      <c r="G262" s="573"/>
      <c r="H262" s="526"/>
      <c r="I262" s="578"/>
    </row>
    <row r="263" spans="1:9" x14ac:dyDescent="0.3">
      <c r="A263" s="509" t="s">
        <v>685</v>
      </c>
      <c r="B263" s="510" t="s">
        <v>686</v>
      </c>
      <c r="C263" s="511" t="s">
        <v>203</v>
      </c>
      <c r="D263" s="576">
        <v>20</v>
      </c>
      <c r="E263" s="577">
        <v>8823</v>
      </c>
      <c r="F263" s="517">
        <f t="shared" si="9"/>
        <v>176460</v>
      </c>
      <c r="G263" s="573"/>
      <c r="H263" s="526"/>
      <c r="I263" s="578"/>
    </row>
    <row r="264" spans="1:9" x14ac:dyDescent="0.3">
      <c r="A264" s="509" t="s">
        <v>687</v>
      </c>
      <c r="B264" s="510" t="s">
        <v>688</v>
      </c>
      <c r="C264" s="511" t="s">
        <v>203</v>
      </c>
      <c r="D264" s="576">
        <v>3</v>
      </c>
      <c r="E264" s="577">
        <v>77290.5</v>
      </c>
      <c r="F264" s="517">
        <f t="shared" si="9"/>
        <v>231871.5</v>
      </c>
      <c r="G264" s="573"/>
      <c r="H264" s="526"/>
      <c r="I264" s="578"/>
    </row>
    <row r="265" spans="1:9" x14ac:dyDescent="0.3">
      <c r="A265" s="509" t="s">
        <v>689</v>
      </c>
      <c r="B265" s="510" t="s">
        <v>690</v>
      </c>
      <c r="C265" s="511" t="s">
        <v>203</v>
      </c>
      <c r="D265" s="576">
        <v>3</v>
      </c>
      <c r="E265" s="577">
        <v>31586</v>
      </c>
      <c r="F265" s="517">
        <f t="shared" si="9"/>
        <v>94758</v>
      </c>
      <c r="G265" s="573"/>
      <c r="H265" s="526"/>
      <c r="I265" s="578"/>
    </row>
    <row r="266" spans="1:9" x14ac:dyDescent="0.3">
      <c r="A266" s="509" t="s">
        <v>691</v>
      </c>
      <c r="B266" s="510" t="s">
        <v>692</v>
      </c>
      <c r="C266" s="511" t="s">
        <v>203</v>
      </c>
      <c r="D266" s="576">
        <v>20</v>
      </c>
      <c r="E266" s="577">
        <v>8032.5</v>
      </c>
      <c r="F266" s="517">
        <f t="shared" si="9"/>
        <v>160650</v>
      </c>
      <c r="G266" s="573"/>
      <c r="H266" s="526"/>
      <c r="I266" s="578"/>
    </row>
    <row r="267" spans="1:9" x14ac:dyDescent="0.3">
      <c r="A267" s="509" t="s">
        <v>693</v>
      </c>
      <c r="B267" s="510" t="s">
        <v>694</v>
      </c>
      <c r="C267" s="511" t="s">
        <v>205</v>
      </c>
      <c r="D267" s="576">
        <v>50</v>
      </c>
      <c r="E267" s="577">
        <v>3185.7999999999997</v>
      </c>
      <c r="F267" s="517">
        <f t="shared" si="9"/>
        <v>159290</v>
      </c>
      <c r="G267" s="573"/>
      <c r="H267" s="526"/>
      <c r="I267" s="578"/>
    </row>
    <row r="268" spans="1:9" ht="37.5" x14ac:dyDescent="0.3">
      <c r="A268" s="509" t="s">
        <v>695</v>
      </c>
      <c r="B268" s="510" t="s">
        <v>696</v>
      </c>
      <c r="C268" s="511" t="s">
        <v>458</v>
      </c>
      <c r="D268" s="576">
        <v>1</v>
      </c>
      <c r="E268" s="577">
        <v>187000</v>
      </c>
      <c r="F268" s="517">
        <f t="shared" si="9"/>
        <v>187000</v>
      </c>
      <c r="G268" s="573"/>
      <c r="H268" s="526"/>
      <c r="I268" s="578"/>
    </row>
    <row r="269" spans="1:9" ht="37.5" x14ac:dyDescent="0.3">
      <c r="A269" s="509" t="s">
        <v>697</v>
      </c>
      <c r="B269" s="510" t="s">
        <v>698</v>
      </c>
      <c r="C269" s="511" t="s">
        <v>458</v>
      </c>
      <c r="D269" s="576">
        <v>1</v>
      </c>
      <c r="E269" s="577">
        <v>3774000</v>
      </c>
      <c r="F269" s="517">
        <f t="shared" si="9"/>
        <v>3774000</v>
      </c>
      <c r="G269" s="573"/>
      <c r="H269" s="526"/>
      <c r="I269" s="578"/>
    </row>
    <row r="270" spans="1:9" s="499" customFormat="1" x14ac:dyDescent="0.3">
      <c r="A270" s="503" t="s">
        <v>330</v>
      </c>
      <c r="B270" s="543" t="s">
        <v>699</v>
      </c>
      <c r="C270" s="544"/>
      <c r="D270" s="544"/>
      <c r="E270" s="544"/>
      <c r="F270" s="545"/>
      <c r="G270" s="573"/>
      <c r="H270" s="526"/>
      <c r="I270" s="578"/>
    </row>
    <row r="271" spans="1:9" x14ac:dyDescent="0.3">
      <c r="A271" s="509" t="s">
        <v>331</v>
      </c>
      <c r="B271" s="510" t="s">
        <v>700</v>
      </c>
      <c r="C271" s="511" t="s">
        <v>205</v>
      </c>
      <c r="D271" s="576">
        <v>68</v>
      </c>
      <c r="E271" s="577">
        <v>217600</v>
      </c>
      <c r="F271" s="517">
        <f t="shared" si="9"/>
        <v>14796800</v>
      </c>
      <c r="G271" s="573"/>
      <c r="H271" s="526"/>
      <c r="I271" s="578"/>
    </row>
    <row r="272" spans="1:9" x14ac:dyDescent="0.3">
      <c r="A272" s="509" t="s">
        <v>332</v>
      </c>
      <c r="B272" s="510" t="s">
        <v>701</v>
      </c>
      <c r="C272" s="511" t="s">
        <v>652</v>
      </c>
      <c r="D272" s="576">
        <v>46</v>
      </c>
      <c r="E272" s="577">
        <v>14620</v>
      </c>
      <c r="F272" s="517">
        <f t="shared" si="9"/>
        <v>672520</v>
      </c>
      <c r="G272" s="573"/>
      <c r="H272" s="526"/>
      <c r="I272" s="578"/>
    </row>
    <row r="273" spans="1:9" x14ac:dyDescent="0.3">
      <c r="A273" s="509" t="s">
        <v>333</v>
      </c>
      <c r="B273" s="510" t="s">
        <v>702</v>
      </c>
      <c r="C273" s="511" t="s">
        <v>458</v>
      </c>
      <c r="D273" s="576">
        <v>1</v>
      </c>
      <c r="E273" s="577">
        <v>1150040</v>
      </c>
      <c r="F273" s="517">
        <f t="shared" si="9"/>
        <v>1150040</v>
      </c>
      <c r="G273" s="573"/>
      <c r="H273" s="526"/>
      <c r="I273" s="578"/>
    </row>
    <row r="274" spans="1:9" x14ac:dyDescent="0.3">
      <c r="A274" s="509" t="s">
        <v>335</v>
      </c>
      <c r="B274" s="510" t="s">
        <v>703</v>
      </c>
      <c r="C274" s="511" t="s">
        <v>203</v>
      </c>
      <c r="D274" s="576">
        <v>1</v>
      </c>
      <c r="E274" s="577">
        <v>558025</v>
      </c>
      <c r="F274" s="517">
        <f t="shared" si="9"/>
        <v>558025</v>
      </c>
      <c r="G274" s="573"/>
      <c r="H274" s="526"/>
      <c r="I274" s="578"/>
    </row>
    <row r="275" spans="1:9" x14ac:dyDescent="0.3">
      <c r="A275" s="509" t="s">
        <v>336</v>
      </c>
      <c r="B275" s="510" t="s">
        <v>704</v>
      </c>
      <c r="C275" s="511" t="s">
        <v>203</v>
      </c>
      <c r="D275" s="576">
        <v>1</v>
      </c>
      <c r="E275" s="577">
        <v>90560.7</v>
      </c>
      <c r="F275" s="517">
        <f t="shared" si="9"/>
        <v>90560.7</v>
      </c>
      <c r="G275" s="573"/>
      <c r="H275" s="526"/>
      <c r="I275" s="578"/>
    </row>
    <row r="276" spans="1:9" x14ac:dyDescent="0.3">
      <c r="A276" s="509" t="s">
        <v>337</v>
      </c>
      <c r="B276" s="510" t="s">
        <v>705</v>
      </c>
      <c r="C276" s="511" t="s">
        <v>203</v>
      </c>
      <c r="D276" s="576">
        <v>3</v>
      </c>
      <c r="E276" s="577">
        <v>57086</v>
      </c>
      <c r="F276" s="517">
        <f t="shared" si="9"/>
        <v>171258</v>
      </c>
      <c r="G276" s="573"/>
      <c r="H276" s="526"/>
      <c r="I276" s="578"/>
    </row>
    <row r="277" spans="1:9" x14ac:dyDescent="0.3">
      <c r="A277" s="509" t="s">
        <v>338</v>
      </c>
      <c r="B277" s="510" t="s">
        <v>706</v>
      </c>
      <c r="C277" s="511" t="s">
        <v>26</v>
      </c>
      <c r="D277" s="576">
        <v>3</v>
      </c>
      <c r="E277" s="577">
        <v>96587.199999999997</v>
      </c>
      <c r="F277" s="517">
        <f t="shared" si="9"/>
        <v>289761.59999999998</v>
      </c>
      <c r="G277" s="573"/>
      <c r="H277" s="526"/>
      <c r="I277" s="578"/>
    </row>
    <row r="278" spans="1:9" x14ac:dyDescent="0.3">
      <c r="A278" s="509" t="s">
        <v>339</v>
      </c>
      <c r="B278" s="510" t="s">
        <v>707</v>
      </c>
      <c r="C278" s="511" t="s">
        <v>26</v>
      </c>
      <c r="D278" s="576">
        <v>1</v>
      </c>
      <c r="E278" s="577">
        <v>48866.5</v>
      </c>
      <c r="F278" s="517">
        <f t="shared" si="9"/>
        <v>48866.5</v>
      </c>
      <c r="G278" s="573"/>
      <c r="H278" s="526"/>
      <c r="I278" s="578"/>
    </row>
    <row r="279" spans="1:9" x14ac:dyDescent="0.3">
      <c r="A279" s="509" t="s">
        <v>340</v>
      </c>
      <c r="B279" s="510" t="s">
        <v>708</v>
      </c>
      <c r="C279" s="511" t="s">
        <v>458</v>
      </c>
      <c r="D279" s="576">
        <v>1</v>
      </c>
      <c r="E279" s="577">
        <v>629000</v>
      </c>
      <c r="F279" s="517">
        <f t="shared" si="9"/>
        <v>629000</v>
      </c>
      <c r="G279" s="573"/>
      <c r="H279" s="526"/>
      <c r="I279" s="578"/>
    </row>
    <row r="280" spans="1:9" x14ac:dyDescent="0.3">
      <c r="A280" s="509" t="s">
        <v>341</v>
      </c>
      <c r="B280" s="510" t="s">
        <v>709</v>
      </c>
      <c r="C280" s="511" t="s">
        <v>710</v>
      </c>
      <c r="D280" s="576">
        <v>7</v>
      </c>
      <c r="E280" s="577">
        <v>26605</v>
      </c>
      <c r="F280" s="517">
        <f t="shared" si="9"/>
        <v>186235</v>
      </c>
      <c r="G280" s="573"/>
      <c r="H280" s="526"/>
      <c r="I280" s="578"/>
    </row>
    <row r="281" spans="1:9" x14ac:dyDescent="0.3">
      <c r="A281" s="509" t="s">
        <v>342</v>
      </c>
      <c r="B281" s="510" t="s">
        <v>711</v>
      </c>
      <c r="C281" s="511" t="s">
        <v>26</v>
      </c>
      <c r="D281" s="576">
        <v>1</v>
      </c>
      <c r="E281" s="577">
        <v>400159.6</v>
      </c>
      <c r="F281" s="517">
        <f t="shared" si="9"/>
        <v>400159.6</v>
      </c>
      <c r="G281" s="573"/>
      <c r="H281" s="526"/>
      <c r="I281" s="578"/>
    </row>
    <row r="282" spans="1:9" ht="19.5" thickBot="1" x14ac:dyDescent="0.35">
      <c r="A282" s="520" t="s">
        <v>343</v>
      </c>
      <c r="B282" s="521" t="s">
        <v>712</v>
      </c>
      <c r="C282" s="522" t="s">
        <v>26</v>
      </c>
      <c r="D282" s="583">
        <v>1</v>
      </c>
      <c r="E282" s="584">
        <v>317298.2</v>
      </c>
      <c r="F282" s="525">
        <f t="shared" si="9"/>
        <v>317298.2</v>
      </c>
      <c r="G282" s="573"/>
      <c r="H282" s="526"/>
      <c r="I282" s="578"/>
    </row>
    <row r="283" spans="1:9" x14ac:dyDescent="0.3">
      <c r="A283" s="526"/>
      <c r="B283" s="527"/>
      <c r="D283" s="585"/>
      <c r="E283" s="586"/>
      <c r="F283" s="529"/>
      <c r="G283" s="573"/>
      <c r="H283" s="526"/>
      <c r="I283" s="578"/>
    </row>
    <row r="284" spans="1:9" x14ac:dyDescent="0.3">
      <c r="A284" s="526"/>
      <c r="B284" s="527"/>
      <c r="D284" s="585"/>
      <c r="E284" s="586"/>
      <c r="F284" s="529"/>
      <c r="G284" s="573"/>
      <c r="H284" s="526"/>
      <c r="I284" s="578"/>
    </row>
    <row r="285" spans="1:9" x14ac:dyDescent="0.3">
      <c r="A285" s="530" t="s">
        <v>571</v>
      </c>
      <c r="B285" s="530"/>
      <c r="D285" s="585"/>
      <c r="E285" s="586"/>
      <c r="F285" s="529"/>
      <c r="G285" s="573"/>
      <c r="H285" s="526"/>
      <c r="I285" s="578"/>
    </row>
    <row r="286" spans="1:9" ht="19.5" thickBot="1" x14ac:dyDescent="0.35">
      <c r="A286" s="526"/>
      <c r="B286" s="531"/>
      <c r="D286" s="585"/>
      <c r="E286" s="586"/>
      <c r="F286" s="529"/>
      <c r="G286" s="573"/>
      <c r="H286" s="526"/>
      <c r="I286" s="578"/>
    </row>
    <row r="287" spans="1:9" x14ac:dyDescent="0.3">
      <c r="A287" s="552" t="s">
        <v>543</v>
      </c>
      <c r="B287" s="587" t="s">
        <v>640</v>
      </c>
      <c r="C287" s="587"/>
      <c r="D287" s="587"/>
      <c r="E287" s="587"/>
      <c r="F287" s="588"/>
      <c r="G287" s="573"/>
      <c r="H287" s="526"/>
      <c r="I287" s="578"/>
    </row>
    <row r="288" spans="1:9" s="499" customFormat="1" x14ac:dyDescent="0.3">
      <c r="A288" s="503" t="s">
        <v>346</v>
      </c>
      <c r="B288" s="504" t="s">
        <v>713</v>
      </c>
      <c r="C288" s="505" t="s">
        <v>26</v>
      </c>
      <c r="D288" s="589">
        <v>3</v>
      </c>
      <c r="E288" s="590"/>
      <c r="F288" s="591"/>
      <c r="G288" s="573"/>
      <c r="H288" s="526"/>
      <c r="I288" s="578"/>
    </row>
    <row r="289" spans="1:12" x14ac:dyDescent="0.3">
      <c r="A289" s="509" t="s">
        <v>347</v>
      </c>
      <c r="B289" s="510" t="s">
        <v>714</v>
      </c>
      <c r="C289" s="511" t="s">
        <v>203</v>
      </c>
      <c r="D289" s="576">
        <v>3</v>
      </c>
      <c r="E289" s="577">
        <v>1157729.3999999999</v>
      </c>
      <c r="F289" s="517">
        <f t="shared" si="9"/>
        <v>3473188.1999999997</v>
      </c>
      <c r="G289" s="573"/>
      <c r="H289" s="526"/>
      <c r="I289" s="578"/>
    </row>
    <row r="290" spans="1:12" x14ac:dyDescent="0.3">
      <c r="A290" s="509" t="s">
        <v>348</v>
      </c>
      <c r="B290" s="510" t="s">
        <v>715</v>
      </c>
      <c r="C290" s="511" t="s">
        <v>205</v>
      </c>
      <c r="D290" s="576">
        <v>70</v>
      </c>
      <c r="E290" s="577">
        <v>18809.099999999999</v>
      </c>
      <c r="F290" s="517">
        <f t="shared" si="9"/>
        <v>1316637</v>
      </c>
      <c r="G290" s="573"/>
      <c r="H290" s="526"/>
      <c r="I290" s="578"/>
    </row>
    <row r="291" spans="1:12" x14ac:dyDescent="0.3">
      <c r="A291" s="509" t="s">
        <v>349</v>
      </c>
      <c r="B291" s="510" t="s">
        <v>716</v>
      </c>
      <c r="C291" s="511" t="s">
        <v>203</v>
      </c>
      <c r="D291" s="576">
        <v>3</v>
      </c>
      <c r="E291" s="577">
        <v>35860.1</v>
      </c>
      <c r="F291" s="517">
        <f t="shared" si="9"/>
        <v>107580.29999999999</v>
      </c>
      <c r="G291" s="573"/>
      <c r="H291" s="526"/>
      <c r="I291" s="578"/>
    </row>
    <row r="292" spans="1:12" x14ac:dyDescent="0.3">
      <c r="A292" s="509" t="s">
        <v>351</v>
      </c>
      <c r="B292" s="510" t="s">
        <v>717</v>
      </c>
      <c r="C292" s="511" t="s">
        <v>203</v>
      </c>
      <c r="D292" s="576">
        <v>60</v>
      </c>
      <c r="E292" s="577">
        <v>34465.599999999999</v>
      </c>
      <c r="F292" s="517">
        <f t="shared" si="9"/>
        <v>2067936</v>
      </c>
      <c r="G292" s="573"/>
      <c r="H292" s="526"/>
      <c r="I292" s="578"/>
    </row>
    <row r="293" spans="1:12" x14ac:dyDescent="0.3">
      <c r="A293" s="509" t="s">
        <v>352</v>
      </c>
      <c r="B293" s="510" t="s">
        <v>718</v>
      </c>
      <c r="C293" s="511" t="s">
        <v>203</v>
      </c>
      <c r="D293" s="576">
        <v>3</v>
      </c>
      <c r="E293" s="577">
        <v>17947.5</v>
      </c>
      <c r="F293" s="517">
        <f t="shared" si="9"/>
        <v>53842.5</v>
      </c>
      <c r="G293" s="573"/>
      <c r="H293" s="526"/>
      <c r="I293" s="578"/>
      <c r="L293" s="515"/>
    </row>
    <row r="294" spans="1:12" x14ac:dyDescent="0.3">
      <c r="A294" s="509" t="s">
        <v>353</v>
      </c>
      <c r="B294" s="510" t="s">
        <v>719</v>
      </c>
      <c r="C294" s="511" t="s">
        <v>203</v>
      </c>
      <c r="D294" s="576">
        <v>3</v>
      </c>
      <c r="E294" s="577">
        <v>655306.5</v>
      </c>
      <c r="F294" s="517">
        <f t="shared" si="9"/>
        <v>1965919.5</v>
      </c>
      <c r="G294" s="573"/>
      <c r="H294" s="526"/>
      <c r="I294" s="578"/>
    </row>
    <row r="295" spans="1:12" x14ac:dyDescent="0.3">
      <c r="A295" s="509" t="s">
        <v>354</v>
      </c>
      <c r="B295" s="510" t="s">
        <v>720</v>
      </c>
      <c r="C295" s="511" t="s">
        <v>203</v>
      </c>
      <c r="D295" s="576">
        <v>3</v>
      </c>
      <c r="E295" s="577">
        <v>35227.899999999994</v>
      </c>
      <c r="F295" s="517">
        <f t="shared" ref="F295:F304" si="10">+D295*E295</f>
        <v>105683.69999999998</v>
      </c>
      <c r="G295" s="573"/>
      <c r="H295" s="526"/>
      <c r="I295" s="578"/>
    </row>
    <row r="296" spans="1:12" x14ac:dyDescent="0.3">
      <c r="A296" s="509" t="s">
        <v>355</v>
      </c>
      <c r="B296" s="510" t="s">
        <v>721</v>
      </c>
      <c r="C296" s="511" t="s">
        <v>203</v>
      </c>
      <c r="D296" s="576">
        <v>9</v>
      </c>
      <c r="E296" s="577">
        <v>10950</v>
      </c>
      <c r="F296" s="517">
        <f t="shared" si="10"/>
        <v>98550</v>
      </c>
      <c r="G296" s="573"/>
      <c r="H296" s="526"/>
      <c r="I296" s="578"/>
    </row>
    <row r="297" spans="1:12" x14ac:dyDescent="0.3">
      <c r="A297" s="509" t="s">
        <v>356</v>
      </c>
      <c r="B297" s="510" t="s">
        <v>722</v>
      </c>
      <c r="C297" s="511" t="s">
        <v>205</v>
      </c>
      <c r="D297" s="576">
        <v>60</v>
      </c>
      <c r="E297" s="577">
        <v>10207.5</v>
      </c>
      <c r="F297" s="517">
        <f t="shared" si="10"/>
        <v>612450</v>
      </c>
      <c r="G297" s="573"/>
      <c r="H297" s="526"/>
      <c r="I297" s="578"/>
    </row>
    <row r="298" spans="1:12" x14ac:dyDescent="0.3">
      <c r="A298" s="509" t="s">
        <v>358</v>
      </c>
      <c r="B298" s="510" t="s">
        <v>723</v>
      </c>
      <c r="C298" s="511" t="s">
        <v>203</v>
      </c>
      <c r="D298" s="576">
        <v>12</v>
      </c>
      <c r="E298" s="577">
        <v>21905.1</v>
      </c>
      <c r="F298" s="517">
        <f>+D298*E298</f>
        <v>262861.19999999995</v>
      </c>
      <c r="G298" s="573"/>
      <c r="H298" s="526"/>
      <c r="I298" s="578"/>
    </row>
    <row r="299" spans="1:12" x14ac:dyDescent="0.3">
      <c r="A299" s="509" t="s">
        <v>359</v>
      </c>
      <c r="B299" s="510" t="s">
        <v>724</v>
      </c>
      <c r="C299" s="511" t="s">
        <v>203</v>
      </c>
      <c r="D299" s="576">
        <v>3</v>
      </c>
      <c r="E299" s="577">
        <v>110751.09999999999</v>
      </c>
      <c r="F299" s="517">
        <f t="shared" si="10"/>
        <v>332253.3</v>
      </c>
      <c r="G299" s="573"/>
      <c r="H299" s="526"/>
      <c r="I299" s="578"/>
    </row>
    <row r="300" spans="1:12" x14ac:dyDescent="0.3">
      <c r="A300" s="509" t="s">
        <v>360</v>
      </c>
      <c r="B300" s="510" t="s">
        <v>725</v>
      </c>
      <c r="C300" s="511" t="s">
        <v>203</v>
      </c>
      <c r="D300" s="576">
        <v>2</v>
      </c>
      <c r="E300" s="577">
        <v>499067</v>
      </c>
      <c r="F300" s="517">
        <f t="shared" si="10"/>
        <v>998134</v>
      </c>
      <c r="G300" s="573"/>
      <c r="H300" s="526"/>
      <c r="I300" s="578"/>
    </row>
    <row r="301" spans="1:12" x14ac:dyDescent="0.3">
      <c r="A301" s="509" t="s">
        <v>361</v>
      </c>
      <c r="B301" s="510" t="s">
        <v>726</v>
      </c>
      <c r="C301" s="511" t="s">
        <v>203</v>
      </c>
      <c r="D301" s="576">
        <v>3</v>
      </c>
      <c r="E301" s="577">
        <v>80710.399999999994</v>
      </c>
      <c r="F301" s="517">
        <f t="shared" si="10"/>
        <v>242131.19999999998</v>
      </c>
      <c r="G301" s="573"/>
      <c r="H301" s="526"/>
      <c r="I301" s="578"/>
    </row>
    <row r="302" spans="1:12" x14ac:dyDescent="0.3">
      <c r="A302" s="509" t="s">
        <v>362</v>
      </c>
      <c r="B302" s="510" t="s">
        <v>727</v>
      </c>
      <c r="C302" s="511" t="s">
        <v>203</v>
      </c>
      <c r="D302" s="576">
        <v>2</v>
      </c>
      <c r="E302" s="577">
        <v>68450</v>
      </c>
      <c r="F302" s="517">
        <f t="shared" si="10"/>
        <v>136900</v>
      </c>
      <c r="G302" s="573"/>
      <c r="H302" s="526"/>
      <c r="I302" s="578"/>
    </row>
    <row r="303" spans="1:12" x14ac:dyDescent="0.3">
      <c r="A303" s="509" t="s">
        <v>364</v>
      </c>
      <c r="B303" s="510" t="s">
        <v>728</v>
      </c>
      <c r="C303" s="511" t="s">
        <v>203</v>
      </c>
      <c r="D303" s="576">
        <v>3</v>
      </c>
      <c r="E303" s="577">
        <v>58047.4</v>
      </c>
      <c r="F303" s="517">
        <f t="shared" si="10"/>
        <v>174142.2</v>
      </c>
      <c r="G303" s="573"/>
      <c r="H303" s="526"/>
      <c r="I303" s="578"/>
    </row>
    <row r="304" spans="1:12" x14ac:dyDescent="0.3">
      <c r="A304" s="509" t="s">
        <v>365</v>
      </c>
      <c r="B304" s="510" t="s">
        <v>729</v>
      </c>
      <c r="C304" s="511" t="s">
        <v>458</v>
      </c>
      <c r="D304" s="576">
        <v>1</v>
      </c>
      <c r="E304" s="577">
        <v>206000</v>
      </c>
      <c r="F304" s="517">
        <f t="shared" si="10"/>
        <v>206000</v>
      </c>
      <c r="G304" s="573"/>
      <c r="H304" s="526"/>
      <c r="I304" s="578"/>
    </row>
    <row r="305" spans="1:6" s="551" customFormat="1" x14ac:dyDescent="0.3">
      <c r="A305" s="592" t="s">
        <v>564</v>
      </c>
      <c r="B305" s="593"/>
      <c r="C305" s="593"/>
      <c r="D305" s="593"/>
      <c r="E305" s="593"/>
      <c r="F305" s="550">
        <f>SUM(F225:F304)</f>
        <v>226552799.89999992</v>
      </c>
    </row>
    <row r="306" spans="1:6" s="551" customFormat="1" x14ac:dyDescent="0.3">
      <c r="A306" s="594" t="s">
        <v>554</v>
      </c>
      <c r="B306" s="595" t="s">
        <v>730</v>
      </c>
      <c r="C306" s="596"/>
      <c r="D306" s="597"/>
      <c r="E306" s="598"/>
      <c r="F306" s="599"/>
    </row>
    <row r="307" spans="1:6" x14ac:dyDescent="0.3">
      <c r="A307" s="509">
        <v>1</v>
      </c>
      <c r="B307" s="510" t="s">
        <v>544</v>
      </c>
      <c r="C307" s="511" t="s">
        <v>205</v>
      </c>
      <c r="D307" s="576">
        <v>1000</v>
      </c>
      <c r="E307" s="513">
        <v>4480</v>
      </c>
      <c r="F307" s="517">
        <f t="shared" ref="F307:F315" si="11">E307*D307</f>
        <v>4480000</v>
      </c>
    </row>
    <row r="308" spans="1:6" x14ac:dyDescent="0.3">
      <c r="A308" s="509">
        <v>2</v>
      </c>
      <c r="B308" s="510" t="s">
        <v>545</v>
      </c>
      <c r="C308" s="511" t="s">
        <v>205</v>
      </c>
      <c r="D308" s="576">
        <v>10</v>
      </c>
      <c r="E308" s="513">
        <v>21977.599999999999</v>
      </c>
      <c r="F308" s="517">
        <f t="shared" si="11"/>
        <v>219776</v>
      </c>
    </row>
    <row r="309" spans="1:6" x14ac:dyDescent="0.3">
      <c r="A309" s="509">
        <v>2</v>
      </c>
      <c r="B309" s="510" t="s">
        <v>546</v>
      </c>
      <c r="C309" s="511" t="s">
        <v>26</v>
      </c>
      <c r="D309" s="576">
        <v>60</v>
      </c>
      <c r="E309" s="513">
        <v>4160</v>
      </c>
      <c r="F309" s="517">
        <f t="shared" si="11"/>
        <v>249600</v>
      </c>
    </row>
    <row r="310" spans="1:6" x14ac:dyDescent="0.3">
      <c r="A310" s="509">
        <v>3</v>
      </c>
      <c r="B310" s="510" t="s">
        <v>547</v>
      </c>
      <c r="C310" s="511" t="s">
        <v>205</v>
      </c>
      <c r="D310" s="576">
        <v>200</v>
      </c>
      <c r="E310" s="513">
        <v>1089.6000000000001</v>
      </c>
      <c r="F310" s="517">
        <f t="shared" si="11"/>
        <v>217920.00000000003</v>
      </c>
    </row>
    <row r="311" spans="1:6" x14ac:dyDescent="0.3">
      <c r="A311" s="509">
        <v>4</v>
      </c>
      <c r="B311" s="510" t="s">
        <v>548</v>
      </c>
      <c r="C311" s="511" t="s">
        <v>26</v>
      </c>
      <c r="D311" s="576">
        <v>1</v>
      </c>
      <c r="E311" s="513">
        <v>192000</v>
      </c>
      <c r="F311" s="517">
        <f t="shared" si="11"/>
        <v>192000</v>
      </c>
    </row>
    <row r="312" spans="1:6" x14ac:dyDescent="0.3">
      <c r="A312" s="509">
        <v>5</v>
      </c>
      <c r="B312" s="510" t="s">
        <v>549</v>
      </c>
      <c r="C312" s="511" t="s">
        <v>26</v>
      </c>
      <c r="D312" s="576">
        <v>5</v>
      </c>
      <c r="E312" s="513">
        <v>80</v>
      </c>
      <c r="F312" s="517">
        <f t="shared" si="11"/>
        <v>400</v>
      </c>
    </row>
    <row r="313" spans="1:6" x14ac:dyDescent="0.3">
      <c r="A313" s="509">
        <v>6</v>
      </c>
      <c r="B313" s="510" t="s">
        <v>731</v>
      </c>
      <c r="C313" s="511" t="s">
        <v>26</v>
      </c>
      <c r="D313" s="576">
        <v>5</v>
      </c>
      <c r="E313" s="513">
        <v>160</v>
      </c>
      <c r="F313" s="517">
        <f t="shared" si="11"/>
        <v>800</v>
      </c>
    </row>
    <row r="314" spans="1:6" x14ac:dyDescent="0.3">
      <c r="A314" s="509">
        <v>7</v>
      </c>
      <c r="B314" s="510" t="s">
        <v>551</v>
      </c>
      <c r="C314" s="511" t="s">
        <v>26</v>
      </c>
      <c r="D314" s="576">
        <v>50</v>
      </c>
      <c r="E314" s="513">
        <v>2916.8</v>
      </c>
      <c r="F314" s="517">
        <f t="shared" si="11"/>
        <v>145840</v>
      </c>
    </row>
    <row r="315" spans="1:6" x14ac:dyDescent="0.3">
      <c r="A315" s="509">
        <v>8</v>
      </c>
      <c r="B315" s="510" t="s">
        <v>552</v>
      </c>
      <c r="C315" s="511" t="s">
        <v>26</v>
      </c>
      <c r="D315" s="576">
        <v>4</v>
      </c>
      <c r="E315" s="513">
        <v>6504</v>
      </c>
      <c r="F315" s="517">
        <f t="shared" si="11"/>
        <v>26016</v>
      </c>
    </row>
    <row r="316" spans="1:6" s="499" customFormat="1" x14ac:dyDescent="0.3">
      <c r="A316" s="600"/>
      <c r="B316" s="558" t="s">
        <v>553</v>
      </c>
      <c r="C316" s="511" t="s">
        <v>458</v>
      </c>
      <c r="D316" s="576">
        <v>1</v>
      </c>
      <c r="E316" s="513">
        <v>2876000</v>
      </c>
      <c r="F316" s="514">
        <f>E316*D316</f>
        <v>2876000</v>
      </c>
    </row>
    <row r="317" spans="1:6" s="551" customFormat="1" x14ac:dyDescent="0.3">
      <c r="A317" s="601" t="s">
        <v>565</v>
      </c>
      <c r="B317" s="602"/>
      <c r="C317" s="602"/>
      <c r="D317" s="602"/>
      <c r="E317" s="602"/>
      <c r="F317" s="550">
        <f>SUM(F307:F316)</f>
        <v>8408352</v>
      </c>
    </row>
    <row r="318" spans="1:6" s="551" customFormat="1" x14ac:dyDescent="0.3">
      <c r="A318" s="594" t="s">
        <v>732</v>
      </c>
      <c r="B318" s="603" t="s">
        <v>733</v>
      </c>
      <c r="C318" s="604"/>
      <c r="D318" s="604"/>
      <c r="E318" s="604"/>
      <c r="F318" s="605"/>
    </row>
    <row r="319" spans="1:6" x14ac:dyDescent="0.3">
      <c r="A319" s="606"/>
      <c r="B319" s="510" t="s">
        <v>734</v>
      </c>
      <c r="C319" s="511">
        <v>32</v>
      </c>
      <c r="D319" s="512">
        <v>210</v>
      </c>
      <c r="E319" s="513">
        <v>715</v>
      </c>
      <c r="F319" s="517">
        <f>+C319*D319*E319</f>
        <v>4804800</v>
      </c>
    </row>
    <row r="320" spans="1:6" x14ac:dyDescent="0.3">
      <c r="A320" s="606"/>
      <c r="B320" s="510" t="s">
        <v>558</v>
      </c>
      <c r="C320" s="511" t="s">
        <v>204</v>
      </c>
      <c r="D320" s="607">
        <v>1</v>
      </c>
      <c r="E320" s="513">
        <v>960000</v>
      </c>
      <c r="F320" s="517">
        <f>+D320*E320</f>
        <v>960000</v>
      </c>
    </row>
    <row r="321" spans="1:6" x14ac:dyDescent="0.3">
      <c r="A321" s="509"/>
      <c r="B321" s="510" t="s">
        <v>735</v>
      </c>
      <c r="C321" s="511">
        <v>32</v>
      </c>
      <c r="D321" s="512">
        <v>1</v>
      </c>
      <c r="E321" s="513">
        <v>62000</v>
      </c>
      <c r="F321" s="517">
        <f>+C321*D321*E321</f>
        <v>1984000</v>
      </c>
    </row>
    <row r="322" spans="1:6" x14ac:dyDescent="0.3">
      <c r="A322" s="509"/>
      <c r="B322" s="510" t="s">
        <v>561</v>
      </c>
      <c r="C322" s="511" t="s">
        <v>204</v>
      </c>
      <c r="D322" s="512">
        <v>1</v>
      </c>
      <c r="E322" s="513">
        <v>400000</v>
      </c>
      <c r="F322" s="517">
        <f>+D322*E322</f>
        <v>400000</v>
      </c>
    </row>
    <row r="323" spans="1:6" x14ac:dyDescent="0.3">
      <c r="A323" s="509"/>
      <c r="B323" s="510" t="s">
        <v>736</v>
      </c>
      <c r="C323" s="511"/>
      <c r="D323" s="512"/>
      <c r="E323" s="513"/>
      <c r="F323" s="517"/>
    </row>
    <row r="324" spans="1:6" x14ac:dyDescent="0.3">
      <c r="A324" s="509"/>
      <c r="B324" s="510"/>
      <c r="C324" s="511"/>
      <c r="D324" s="512"/>
      <c r="E324" s="513"/>
      <c r="F324" s="517"/>
    </row>
    <row r="325" spans="1:6" s="551" customFormat="1" x14ac:dyDescent="0.3">
      <c r="A325" s="601" t="s">
        <v>737</v>
      </c>
      <c r="B325" s="602"/>
      <c r="C325" s="602"/>
      <c r="D325" s="602"/>
      <c r="E325" s="602"/>
      <c r="F325" s="550">
        <f>SUM(F319:F322)</f>
        <v>8148800</v>
      </c>
    </row>
    <row r="326" spans="1:6" ht="19.5" thickBot="1" x14ac:dyDescent="0.35">
      <c r="A326" s="608"/>
      <c r="B326" s="609"/>
      <c r="C326" s="610"/>
      <c r="D326" s="611"/>
      <c r="E326" s="612"/>
      <c r="F326" s="613"/>
    </row>
    <row r="327" spans="1:6" ht="19.5" thickBot="1" x14ac:dyDescent="0.35">
      <c r="A327" s="614" t="s">
        <v>738</v>
      </c>
      <c r="B327" s="615" t="s">
        <v>739</v>
      </c>
      <c r="C327" s="616" t="s">
        <v>534</v>
      </c>
      <c r="D327" s="616">
        <v>1</v>
      </c>
      <c r="E327" s="617">
        <f ca="1">+(F305+F218+F181)*0.06</f>
        <v>75517012.007126406</v>
      </c>
      <c r="F327" s="618">
        <f ca="1">D327*E327</f>
        <v>75517012.007126406</v>
      </c>
    </row>
    <row r="328" spans="1:6" ht="19.5" thickBot="1" x14ac:dyDescent="0.35">
      <c r="A328" s="619"/>
      <c r="B328" s="620"/>
      <c r="C328" s="619"/>
      <c r="D328" s="619"/>
      <c r="E328" s="621"/>
      <c r="F328" s="622"/>
    </row>
    <row r="329" spans="1:6" s="477" customFormat="1" x14ac:dyDescent="0.3">
      <c r="A329" s="623" t="s">
        <v>566</v>
      </c>
      <c r="B329" s="624"/>
      <c r="C329" s="624"/>
      <c r="D329" s="624"/>
      <c r="E329" s="624"/>
      <c r="F329" s="625">
        <f ca="1">+F325+F218+F181+F317+F327+F305</f>
        <v>1350691030.7925665</v>
      </c>
    </row>
    <row r="330" spans="1:6" s="477" customFormat="1" x14ac:dyDescent="0.3">
      <c r="A330" s="626" t="s">
        <v>475</v>
      </c>
      <c r="B330" s="627"/>
      <c r="C330" s="627"/>
      <c r="D330" s="627"/>
      <c r="E330" s="627"/>
      <c r="F330" s="628">
        <f ca="1">+F329*0.18</f>
        <v>243124385.54266196</v>
      </c>
    </row>
    <row r="331" spans="1:6" s="477" customFormat="1" ht="19.5" thickBot="1" x14ac:dyDescent="0.35">
      <c r="A331" s="629" t="s">
        <v>476</v>
      </c>
      <c r="B331" s="630"/>
      <c r="C331" s="630"/>
      <c r="D331" s="630"/>
      <c r="E331" s="630"/>
      <c r="F331" s="631">
        <f ca="1">SUM(F329:F330)</f>
        <v>1593815416.3352284</v>
      </c>
    </row>
    <row r="332" spans="1:6" s="477" customFormat="1" x14ac:dyDescent="0.3">
      <c r="B332" s="632"/>
      <c r="C332" s="484"/>
      <c r="D332" s="485"/>
      <c r="E332" s="633"/>
      <c r="F332" s="486"/>
    </row>
    <row r="333" spans="1:6" s="477" customFormat="1" x14ac:dyDescent="0.3">
      <c r="A333" s="634" t="s">
        <v>477</v>
      </c>
      <c r="B333" s="635"/>
      <c r="C333" s="484"/>
      <c r="D333" s="485"/>
      <c r="E333" s="633"/>
      <c r="F333" s="486"/>
    </row>
    <row r="334" spans="1:6" s="477" customFormat="1" ht="21" x14ac:dyDescent="0.35">
      <c r="A334" s="636" t="s">
        <v>740</v>
      </c>
      <c r="B334" s="636"/>
      <c r="C334" s="636"/>
      <c r="D334" s="636"/>
      <c r="E334" s="636"/>
      <c r="F334" s="636"/>
    </row>
    <row r="335" spans="1:6" s="477" customFormat="1" x14ac:dyDescent="0.3">
      <c r="B335" s="632"/>
      <c r="C335" s="484"/>
      <c r="D335" s="485"/>
      <c r="E335" s="633"/>
      <c r="F335" s="486"/>
    </row>
    <row r="336" spans="1:6" s="477" customFormat="1" x14ac:dyDescent="0.3">
      <c r="A336" s="637"/>
      <c r="B336" s="632"/>
      <c r="C336" s="484"/>
      <c r="D336" s="485"/>
      <c r="E336" s="633"/>
      <c r="F336" s="486"/>
    </row>
    <row r="337" spans="1:7" s="477" customFormat="1" x14ac:dyDescent="0.3">
      <c r="A337" s="638" t="s">
        <v>741</v>
      </c>
      <c r="B337" s="632"/>
      <c r="C337" s="484"/>
      <c r="D337" s="485"/>
      <c r="E337" s="633"/>
      <c r="F337" s="486"/>
    </row>
    <row r="338" spans="1:7" s="477" customFormat="1" x14ac:dyDescent="0.3">
      <c r="B338" s="632"/>
      <c r="C338" s="484"/>
      <c r="D338" s="485"/>
      <c r="E338" s="633"/>
      <c r="F338" s="486"/>
      <c r="G338" s="639"/>
    </row>
    <row r="346" spans="1:7" s="640" customFormat="1" x14ac:dyDescent="0.3">
      <c r="B346" s="641"/>
      <c r="C346" s="526"/>
      <c r="D346" s="470"/>
      <c r="E346" s="471"/>
      <c r="F346" s="481"/>
    </row>
    <row r="347" spans="1:7" s="640" customFormat="1" x14ac:dyDescent="0.3">
      <c r="B347" s="641"/>
      <c r="C347" s="526"/>
      <c r="D347" s="470"/>
      <c r="E347" s="471"/>
      <c r="F347" s="481"/>
    </row>
    <row r="348" spans="1:7" s="640" customFormat="1" x14ac:dyDescent="0.3">
      <c r="B348" s="641"/>
      <c r="C348" s="526"/>
      <c r="D348" s="470"/>
      <c r="E348" s="471"/>
      <c r="F348" s="481"/>
    </row>
    <row r="349" spans="1:7" s="640" customFormat="1" x14ac:dyDescent="0.3">
      <c r="B349" s="641"/>
      <c r="C349" s="526"/>
      <c r="D349" s="470"/>
      <c r="E349" s="471"/>
      <c r="F349" s="481"/>
    </row>
    <row r="350" spans="1:7" s="640" customFormat="1" x14ac:dyDescent="0.3">
      <c r="B350" s="641"/>
      <c r="C350" s="526"/>
      <c r="D350" s="470"/>
      <c r="E350" s="471"/>
      <c r="F350" s="481"/>
    </row>
    <row r="351" spans="1:7" s="640" customFormat="1" x14ac:dyDescent="0.3">
      <c r="B351" s="641"/>
      <c r="C351" s="526"/>
      <c r="D351" s="470"/>
      <c r="E351" s="471"/>
      <c r="F351" s="481"/>
    </row>
    <row r="352" spans="1:7" s="640" customFormat="1" x14ac:dyDescent="0.3">
      <c r="B352" s="641"/>
      <c r="C352" s="526"/>
      <c r="D352" s="470"/>
      <c r="E352" s="471"/>
      <c r="F352" s="481"/>
    </row>
    <row r="353" spans="2:6" s="640" customFormat="1" x14ac:dyDescent="0.3">
      <c r="B353" s="641"/>
      <c r="C353" s="526"/>
      <c r="D353" s="470"/>
      <c r="E353" s="471"/>
      <c r="F353" s="481"/>
    </row>
    <row r="354" spans="2:6" s="640" customFormat="1" x14ac:dyDescent="0.3">
      <c r="B354" s="641"/>
      <c r="C354" s="526"/>
      <c r="D354" s="470"/>
      <c r="E354" s="471"/>
      <c r="F354" s="481"/>
    </row>
    <row r="355" spans="2:6" s="640" customFormat="1" x14ac:dyDescent="0.3">
      <c r="B355" s="641"/>
      <c r="C355" s="526"/>
      <c r="D355" s="470"/>
      <c r="E355" s="471"/>
      <c r="F355" s="481"/>
    </row>
    <row r="356" spans="2:6" s="640" customFormat="1" x14ac:dyDescent="0.3">
      <c r="B356" s="641"/>
      <c r="C356" s="526"/>
      <c r="D356" s="470"/>
      <c r="E356" s="471"/>
      <c r="F356" s="481"/>
    </row>
    <row r="357" spans="2:6" s="640" customFormat="1" x14ac:dyDescent="0.3">
      <c r="B357" s="641"/>
      <c r="C357" s="526"/>
      <c r="D357" s="470"/>
      <c r="E357" s="471"/>
      <c r="F357" s="481"/>
    </row>
    <row r="358" spans="2:6" s="640" customFormat="1" x14ac:dyDescent="0.3">
      <c r="B358" s="641"/>
      <c r="C358" s="526"/>
      <c r="D358" s="470"/>
      <c r="E358" s="471"/>
      <c r="F358" s="481"/>
    </row>
    <row r="359" spans="2:6" s="640" customFormat="1" x14ac:dyDescent="0.3">
      <c r="B359" s="641"/>
      <c r="C359" s="526"/>
      <c r="D359" s="470"/>
      <c r="E359" s="471"/>
      <c r="F359" s="481"/>
    </row>
    <row r="360" spans="2:6" s="640" customFormat="1" x14ac:dyDescent="0.3">
      <c r="B360" s="641"/>
      <c r="C360" s="526"/>
      <c r="D360" s="470"/>
      <c r="E360" s="471"/>
      <c r="F360" s="481"/>
    </row>
    <row r="361" spans="2:6" s="640" customFormat="1" x14ac:dyDescent="0.3">
      <c r="B361" s="641"/>
      <c r="C361" s="526"/>
      <c r="D361" s="470"/>
      <c r="E361" s="471"/>
      <c r="F361" s="481"/>
    </row>
    <row r="362" spans="2:6" s="640" customFormat="1" x14ac:dyDescent="0.3">
      <c r="B362" s="641"/>
      <c r="C362" s="526"/>
      <c r="D362" s="470"/>
      <c r="E362" s="471"/>
      <c r="F362" s="481"/>
    </row>
    <row r="363" spans="2:6" s="640" customFormat="1" x14ac:dyDescent="0.3">
      <c r="B363" s="641"/>
      <c r="C363" s="526"/>
      <c r="D363" s="470"/>
      <c r="E363" s="471"/>
      <c r="F363" s="481"/>
    </row>
    <row r="364" spans="2:6" s="640" customFormat="1" x14ac:dyDescent="0.3">
      <c r="B364" s="641"/>
      <c r="C364" s="526"/>
      <c r="D364" s="470"/>
      <c r="E364" s="471"/>
      <c r="F364" s="481"/>
    </row>
  </sheetData>
  <mergeCells count="32">
    <mergeCell ref="A330:E330"/>
    <mergeCell ref="A331:E331"/>
    <mergeCell ref="B287:F287"/>
    <mergeCell ref="A305:E305"/>
    <mergeCell ref="A317:E317"/>
    <mergeCell ref="B318:F318"/>
    <mergeCell ref="A325:E325"/>
    <mergeCell ref="A329:E329"/>
    <mergeCell ref="A221:B221"/>
    <mergeCell ref="B223:F223"/>
    <mergeCell ref="B224:F224"/>
    <mergeCell ref="B241:F241"/>
    <mergeCell ref="B270:F270"/>
    <mergeCell ref="A285:B285"/>
    <mergeCell ref="B182:F182"/>
    <mergeCell ref="C192:C200"/>
    <mergeCell ref="D192:D200"/>
    <mergeCell ref="E192:E200"/>
    <mergeCell ref="F192:F200"/>
    <mergeCell ref="A218:E218"/>
    <mergeCell ref="B72:F72"/>
    <mergeCell ref="B121:F121"/>
    <mergeCell ref="A145:B145"/>
    <mergeCell ref="B147:F147"/>
    <mergeCell ref="B148:F148"/>
    <mergeCell ref="A181:E181"/>
    <mergeCell ref="A5:B5"/>
    <mergeCell ref="A6:C6"/>
    <mergeCell ref="E15:F15"/>
    <mergeCell ref="B20:F20"/>
    <mergeCell ref="A69:B69"/>
    <mergeCell ref="B71:F7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8" orientation="portrait" verticalDpi="0" r:id="rId1"/>
  <rowBreaks count="4" manualBreakCount="4">
    <brk id="67" max="16383" man="1"/>
    <brk id="143" max="16383" man="1"/>
    <brk id="219" max="16383" man="1"/>
    <brk id="283" max="1638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J2484"/>
  <sheetViews>
    <sheetView showGridLines="0" topLeftCell="A10" zoomScale="115" zoomScaleNormal="115" zoomScaleSheetLayoutView="85" workbookViewId="0">
      <selection activeCell="C14" sqref="C14"/>
    </sheetView>
  </sheetViews>
  <sheetFormatPr baseColWidth="10" defaultColWidth="11.5703125" defaultRowHeight="15.75" x14ac:dyDescent="0.25"/>
  <cols>
    <col min="1" max="1" width="7.140625" style="100" customWidth="1"/>
    <col min="2" max="2" width="41.5703125" style="100" customWidth="1"/>
    <col min="3" max="3" width="26.85546875" style="100" customWidth="1"/>
    <col min="4" max="4" width="26.5703125" style="99" bestFit="1" customWidth="1"/>
    <col min="5" max="5" width="27.7109375" style="99" customWidth="1"/>
    <col min="6" max="478" width="11.5703125" style="99"/>
    <col min="479" max="16384" width="11.5703125" style="100"/>
  </cols>
  <sheetData>
    <row r="1" spans="1:478" s="95" customFormat="1" ht="29.25" customHeight="1" thickBot="1" x14ac:dyDescent="0.3">
      <c r="A1" s="459" t="s">
        <v>211</v>
      </c>
      <c r="B1" s="460"/>
      <c r="C1" s="460"/>
      <c r="D1" s="460"/>
      <c r="E1" s="460"/>
      <c r="F1" s="461"/>
    </row>
    <row r="2" spans="1:478" s="95" customFormat="1" ht="24.75" customHeight="1" thickBot="1" x14ac:dyDescent="0.3">
      <c r="A2" s="462" t="s">
        <v>210</v>
      </c>
      <c r="B2" s="463"/>
      <c r="C2" s="463"/>
      <c r="D2" s="463"/>
      <c r="E2" s="464" t="s">
        <v>206</v>
      </c>
      <c r="F2" s="465"/>
    </row>
    <row r="3" spans="1:478" s="95" customFormat="1" ht="8.25" customHeight="1" x14ac:dyDescent="0.25">
      <c r="A3" s="96"/>
      <c r="B3" s="96"/>
      <c r="C3" s="96"/>
      <c r="D3" s="96"/>
      <c r="E3" s="96"/>
      <c r="F3" s="96"/>
    </row>
    <row r="4" spans="1:478" s="192" customFormat="1" ht="21.6" customHeight="1" x14ac:dyDescent="0.3">
      <c r="A4" s="190"/>
      <c r="B4" s="191" t="s">
        <v>212</v>
      </c>
      <c r="C4" s="466"/>
      <c r="D4" s="466"/>
      <c r="E4" s="466" t="s">
        <v>207</v>
      </c>
      <c r="F4" s="466"/>
      <c r="I4" s="193"/>
    </row>
    <row r="5" spans="1:478" s="95" customFormat="1" ht="8.25" customHeight="1" x14ac:dyDescent="0.25">
      <c r="A5" s="96"/>
      <c r="B5" s="96"/>
      <c r="C5" s="96"/>
      <c r="D5" s="96"/>
      <c r="E5" s="96"/>
      <c r="F5" s="96"/>
    </row>
    <row r="6" spans="1:478" s="95" customFormat="1" ht="18" customHeight="1" x14ac:dyDescent="0.3">
      <c r="A6" s="96"/>
      <c r="B6" s="97" t="s">
        <v>145</v>
      </c>
      <c r="C6" s="196"/>
      <c r="D6" s="96"/>
      <c r="E6" s="96"/>
      <c r="F6" s="96"/>
    </row>
    <row r="7" spans="1:478" s="95" customFormat="1" ht="8.25" customHeight="1" x14ac:dyDescent="0.25">
      <c r="A7" s="96"/>
      <c r="B7" s="96"/>
      <c r="C7" s="96"/>
      <c r="D7" s="96"/>
      <c r="E7" s="96"/>
      <c r="F7" s="96"/>
    </row>
    <row r="8" spans="1:478" ht="33.75" customHeight="1" x14ac:dyDescent="0.25">
      <c r="A8" s="98" t="s">
        <v>1</v>
      </c>
      <c r="B8" s="98" t="s">
        <v>97</v>
      </c>
      <c r="C8" s="98" t="s">
        <v>146</v>
      </c>
      <c r="D8" s="98" t="s">
        <v>127</v>
      </c>
      <c r="E8" s="98" t="s">
        <v>147</v>
      </c>
      <c r="F8" s="98" t="s">
        <v>128</v>
      </c>
    </row>
    <row r="9" spans="1:478" s="106" customFormat="1" ht="27" customHeight="1" x14ac:dyDescent="0.25">
      <c r="A9" s="101" t="s">
        <v>0</v>
      </c>
      <c r="B9" s="102" t="s">
        <v>107</v>
      </c>
      <c r="C9" s="103"/>
      <c r="D9" s="103">
        <f ca="1">SUM(Sous_traitance[[#Totals],[J01]:[J24]])</f>
        <v>0</v>
      </c>
      <c r="E9" s="103">
        <f ca="1">+Tableau15[[#This Row],[MONTANT ]]-Tableau15[[#This Row],[REALISATIONS]]</f>
        <v>0</v>
      </c>
      <c r="F9" s="104" t="str">
        <f ca="1">IF(+Tableau15[[#This Row],[REALISATIONS]]=0,"-",Tableau15[[#This Row],[REALISATIONS]]/Tableau15[[#This Row],[MONTANT ]])</f>
        <v>-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5"/>
      <c r="DW9" s="105"/>
      <c r="DX9" s="105"/>
      <c r="DY9" s="105"/>
      <c r="DZ9" s="105"/>
      <c r="EA9" s="105"/>
      <c r="EB9" s="105"/>
      <c r="EC9" s="105"/>
      <c r="ED9" s="105"/>
      <c r="EE9" s="105"/>
      <c r="EF9" s="105"/>
      <c r="EG9" s="105"/>
      <c r="EH9" s="105"/>
      <c r="EI9" s="105"/>
      <c r="EJ9" s="105"/>
      <c r="EK9" s="105"/>
      <c r="EL9" s="105"/>
      <c r="EM9" s="105"/>
      <c r="EN9" s="105"/>
      <c r="EO9" s="105"/>
      <c r="EP9" s="105"/>
      <c r="EQ9" s="105"/>
      <c r="ER9" s="105"/>
      <c r="ES9" s="105"/>
      <c r="ET9" s="105"/>
      <c r="EU9" s="105"/>
      <c r="EV9" s="105"/>
      <c r="EW9" s="105"/>
      <c r="EX9" s="105"/>
      <c r="EY9" s="105"/>
      <c r="EZ9" s="105"/>
      <c r="FA9" s="105"/>
      <c r="FB9" s="105"/>
      <c r="FC9" s="105"/>
      <c r="FD9" s="105"/>
      <c r="FE9" s="105"/>
      <c r="FF9" s="105"/>
      <c r="FG9" s="105"/>
      <c r="FH9" s="105"/>
      <c r="FI9" s="105"/>
      <c r="FJ9" s="105"/>
      <c r="FK9" s="105"/>
      <c r="FL9" s="105"/>
      <c r="FM9" s="105"/>
      <c r="FN9" s="105"/>
      <c r="FO9" s="105"/>
      <c r="FP9" s="105"/>
      <c r="FQ9" s="105"/>
      <c r="FR9" s="105"/>
      <c r="FS9" s="105"/>
      <c r="FT9" s="105"/>
      <c r="FU9" s="105"/>
      <c r="FV9" s="105"/>
      <c r="FW9" s="105"/>
      <c r="FX9" s="105"/>
      <c r="FY9" s="105"/>
      <c r="FZ9" s="105"/>
      <c r="GA9" s="105"/>
      <c r="GB9" s="105"/>
      <c r="GC9" s="105"/>
      <c r="GD9" s="105"/>
      <c r="GE9" s="105"/>
      <c r="GF9" s="105"/>
      <c r="GG9" s="105"/>
      <c r="GH9" s="105"/>
      <c r="GI9" s="105"/>
      <c r="GJ9" s="105"/>
      <c r="GK9" s="105"/>
      <c r="GL9" s="105"/>
      <c r="GM9" s="105"/>
      <c r="GN9" s="105"/>
      <c r="GO9" s="105"/>
      <c r="GP9" s="105"/>
      <c r="GQ9" s="105"/>
      <c r="GR9" s="105"/>
      <c r="GS9" s="105"/>
      <c r="GT9" s="105"/>
      <c r="GU9" s="105"/>
      <c r="GV9" s="105"/>
      <c r="GW9" s="105"/>
      <c r="GX9" s="105"/>
      <c r="GY9" s="105"/>
      <c r="GZ9" s="105"/>
      <c r="HA9" s="105"/>
      <c r="HB9" s="105"/>
      <c r="HC9" s="105"/>
      <c r="HD9" s="105"/>
      <c r="HE9" s="105"/>
      <c r="HF9" s="105"/>
      <c r="HG9" s="105"/>
      <c r="HH9" s="105"/>
      <c r="HI9" s="105"/>
      <c r="HJ9" s="105"/>
      <c r="HK9" s="105"/>
      <c r="HL9" s="105"/>
      <c r="HM9" s="105"/>
      <c r="HN9" s="105"/>
      <c r="HO9" s="105"/>
      <c r="HP9" s="105"/>
      <c r="HQ9" s="105"/>
      <c r="HR9" s="105"/>
      <c r="HS9" s="105"/>
      <c r="HT9" s="105"/>
      <c r="HU9" s="105"/>
      <c r="HV9" s="105"/>
      <c r="HW9" s="105"/>
      <c r="HX9" s="105"/>
      <c r="HY9" s="105"/>
      <c r="HZ9" s="105"/>
      <c r="IA9" s="105"/>
      <c r="IB9" s="105"/>
      <c r="IC9" s="105"/>
      <c r="ID9" s="105"/>
      <c r="IE9" s="105"/>
      <c r="IF9" s="105"/>
      <c r="IG9" s="105"/>
      <c r="IH9" s="105"/>
      <c r="II9" s="105"/>
      <c r="IJ9" s="105"/>
      <c r="IK9" s="105"/>
      <c r="IL9" s="105"/>
      <c r="IM9" s="105"/>
      <c r="IN9" s="105"/>
      <c r="IO9" s="105"/>
      <c r="IP9" s="105"/>
      <c r="IQ9" s="105"/>
      <c r="IR9" s="105"/>
      <c r="IS9" s="105"/>
      <c r="IT9" s="105"/>
      <c r="IU9" s="105"/>
      <c r="IV9" s="105"/>
      <c r="IW9" s="105"/>
      <c r="IX9" s="105"/>
      <c r="IY9" s="105"/>
      <c r="IZ9" s="105"/>
      <c r="JA9" s="105"/>
      <c r="JB9" s="105"/>
      <c r="JC9" s="105"/>
      <c r="JD9" s="105"/>
      <c r="JE9" s="105"/>
      <c r="JF9" s="105"/>
      <c r="JG9" s="105"/>
      <c r="JH9" s="105"/>
      <c r="JI9" s="105"/>
      <c r="JJ9" s="105"/>
      <c r="JK9" s="105"/>
      <c r="JL9" s="105"/>
      <c r="JM9" s="105"/>
      <c r="JN9" s="105"/>
      <c r="JO9" s="105"/>
      <c r="JP9" s="105"/>
      <c r="JQ9" s="105"/>
      <c r="JR9" s="105"/>
      <c r="JS9" s="105"/>
      <c r="JT9" s="105"/>
      <c r="JU9" s="105"/>
      <c r="JV9" s="105"/>
      <c r="JW9" s="105"/>
      <c r="JX9" s="105"/>
      <c r="JY9" s="105"/>
      <c r="JZ9" s="105"/>
      <c r="KA9" s="105"/>
      <c r="KB9" s="105"/>
      <c r="KC9" s="105"/>
      <c r="KD9" s="105"/>
      <c r="KE9" s="105"/>
      <c r="KF9" s="105"/>
      <c r="KG9" s="105"/>
      <c r="KH9" s="105"/>
      <c r="KI9" s="105"/>
      <c r="KJ9" s="105"/>
      <c r="KK9" s="105"/>
      <c r="KL9" s="105"/>
      <c r="KM9" s="105"/>
      <c r="KN9" s="105"/>
      <c r="KO9" s="105"/>
      <c r="KP9" s="105"/>
      <c r="KQ9" s="105"/>
      <c r="KR9" s="105"/>
      <c r="KS9" s="105"/>
      <c r="KT9" s="105"/>
      <c r="KU9" s="105"/>
      <c r="KV9" s="105"/>
      <c r="KW9" s="105"/>
      <c r="KX9" s="105"/>
      <c r="KY9" s="105"/>
      <c r="KZ9" s="105"/>
      <c r="LA9" s="105"/>
      <c r="LB9" s="105"/>
      <c r="LC9" s="105"/>
      <c r="LD9" s="105"/>
      <c r="LE9" s="105"/>
      <c r="LF9" s="105"/>
      <c r="LG9" s="105"/>
      <c r="LH9" s="105"/>
      <c r="LI9" s="105"/>
      <c r="LJ9" s="105"/>
      <c r="LK9" s="105"/>
      <c r="LL9" s="105"/>
      <c r="LM9" s="105"/>
      <c r="LN9" s="105"/>
      <c r="LO9" s="105"/>
      <c r="LP9" s="105"/>
      <c r="LQ9" s="105"/>
      <c r="LR9" s="105"/>
      <c r="LS9" s="105"/>
      <c r="LT9" s="105"/>
      <c r="LU9" s="105"/>
      <c r="LV9" s="105"/>
      <c r="LW9" s="105"/>
      <c r="LX9" s="105"/>
      <c r="LY9" s="105"/>
      <c r="LZ9" s="105"/>
      <c r="MA9" s="105"/>
      <c r="MB9" s="105"/>
      <c r="MC9" s="105"/>
      <c r="MD9" s="105"/>
      <c r="ME9" s="105"/>
      <c r="MF9" s="105"/>
      <c r="MG9" s="105"/>
      <c r="MH9" s="105"/>
      <c r="MI9" s="105"/>
      <c r="MJ9" s="105"/>
      <c r="MK9" s="105"/>
      <c r="ML9" s="105"/>
      <c r="MM9" s="105"/>
      <c r="MN9" s="105"/>
      <c r="MO9" s="105"/>
      <c r="MP9" s="105"/>
      <c r="MQ9" s="105"/>
      <c r="MR9" s="105"/>
      <c r="MS9" s="105"/>
      <c r="MT9" s="105"/>
      <c r="MU9" s="105"/>
      <c r="MV9" s="105"/>
      <c r="MW9" s="105"/>
      <c r="MX9" s="105"/>
      <c r="MY9" s="105"/>
      <c r="MZ9" s="105"/>
      <c r="NA9" s="105"/>
      <c r="NB9" s="105"/>
      <c r="NC9" s="105"/>
      <c r="ND9" s="105"/>
      <c r="NE9" s="105"/>
      <c r="NF9" s="105"/>
      <c r="NG9" s="105"/>
      <c r="NH9" s="105"/>
      <c r="NI9" s="105"/>
      <c r="NJ9" s="105"/>
      <c r="NK9" s="105"/>
      <c r="NL9" s="105"/>
      <c r="NM9" s="105"/>
      <c r="NN9" s="105"/>
      <c r="NO9" s="105"/>
      <c r="NP9" s="105"/>
      <c r="NQ9" s="105"/>
      <c r="NR9" s="105"/>
      <c r="NS9" s="105"/>
      <c r="NT9" s="105"/>
      <c r="NU9" s="105"/>
      <c r="NV9" s="105"/>
      <c r="NW9" s="105"/>
      <c r="NX9" s="105"/>
      <c r="NY9" s="105"/>
      <c r="NZ9" s="105"/>
      <c r="OA9" s="105"/>
      <c r="OB9" s="105"/>
      <c r="OC9" s="105"/>
      <c r="OD9" s="105"/>
      <c r="OE9" s="105"/>
      <c r="OF9" s="105"/>
      <c r="OG9" s="105"/>
      <c r="OH9" s="105"/>
      <c r="OI9" s="105"/>
      <c r="OJ9" s="105"/>
      <c r="OK9" s="105"/>
      <c r="OL9" s="105"/>
      <c r="OM9" s="105"/>
      <c r="ON9" s="105"/>
      <c r="OO9" s="105"/>
      <c r="OP9" s="105"/>
      <c r="OQ9" s="105"/>
      <c r="OR9" s="105"/>
      <c r="OS9" s="105"/>
      <c r="OT9" s="105"/>
      <c r="OU9" s="105"/>
      <c r="OV9" s="105"/>
      <c r="OW9" s="105"/>
      <c r="OX9" s="105"/>
      <c r="OY9" s="105"/>
      <c r="OZ9" s="105"/>
      <c r="PA9" s="105"/>
      <c r="PB9" s="105"/>
      <c r="PC9" s="105"/>
      <c r="PD9" s="105"/>
      <c r="PE9" s="105"/>
      <c r="PF9" s="105"/>
      <c r="PG9" s="105"/>
      <c r="PH9" s="105"/>
      <c r="PI9" s="105"/>
      <c r="PJ9" s="105"/>
      <c r="PK9" s="105"/>
      <c r="PL9" s="105"/>
      <c r="PM9" s="105"/>
      <c r="PN9" s="105"/>
      <c r="PO9" s="105"/>
      <c r="PP9" s="105"/>
      <c r="PQ9" s="105"/>
      <c r="PR9" s="105"/>
      <c r="PS9" s="105"/>
      <c r="PT9" s="105"/>
      <c r="PU9" s="105"/>
      <c r="PV9" s="105"/>
      <c r="PW9" s="105"/>
      <c r="PX9" s="105"/>
      <c r="PY9" s="105"/>
      <c r="PZ9" s="105"/>
      <c r="QA9" s="105"/>
      <c r="QB9" s="105"/>
      <c r="QC9" s="105"/>
      <c r="QD9" s="105"/>
      <c r="QE9" s="105"/>
      <c r="QF9" s="105"/>
      <c r="QG9" s="105"/>
      <c r="QH9" s="105"/>
      <c r="QI9" s="105"/>
      <c r="QJ9" s="105"/>
      <c r="QK9" s="105"/>
      <c r="QL9" s="105"/>
      <c r="QM9" s="105"/>
      <c r="QN9" s="105"/>
      <c r="QO9" s="105"/>
      <c r="QP9" s="105"/>
      <c r="QQ9" s="105"/>
      <c r="QR9" s="105"/>
      <c r="QS9" s="105"/>
      <c r="QT9" s="105"/>
      <c r="QU9" s="105"/>
      <c r="QV9" s="105"/>
      <c r="QW9" s="105"/>
      <c r="QX9" s="105"/>
      <c r="QY9" s="105"/>
      <c r="QZ9" s="105"/>
      <c r="RA9" s="105"/>
      <c r="RB9" s="105"/>
      <c r="RC9" s="105"/>
      <c r="RD9" s="105"/>
      <c r="RE9" s="105"/>
      <c r="RF9" s="105"/>
      <c r="RG9" s="105"/>
      <c r="RH9" s="105"/>
      <c r="RI9" s="105"/>
      <c r="RJ9" s="105"/>
    </row>
    <row r="10" spans="1:478" s="106" customFormat="1" ht="27" customHeight="1" x14ac:dyDescent="0.25">
      <c r="A10" s="101" t="s">
        <v>21</v>
      </c>
      <c r="B10" s="102" t="s">
        <v>108</v>
      </c>
      <c r="C10" s="103">
        <f>+Sous_traitance[[#Totals],[Prix total]]</f>
        <v>0</v>
      </c>
      <c r="D10" s="103">
        <f ca="1">SUM(Sous_traitance[[#Totals],[J01]:[J24]])</f>
        <v>0</v>
      </c>
      <c r="E10" s="103">
        <f ca="1">+Tableau15[[#This Row],[MONTANT ]]-Tableau15[[#This Row],[REALISATIONS]]</f>
        <v>0</v>
      </c>
      <c r="F10" s="104" t="str">
        <f ca="1">IF(+Tableau15[[#This Row],[REALISATIONS]]=0,"-",Tableau15[[#This Row],[REALISATIONS]]/Tableau15[[#This Row],[MONTANT ]])</f>
        <v>-</v>
      </c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5"/>
      <c r="EL10" s="105"/>
      <c r="EM10" s="105"/>
      <c r="EN10" s="105"/>
      <c r="EO10" s="105"/>
      <c r="EP10" s="105"/>
      <c r="EQ10" s="105"/>
      <c r="ER10" s="105"/>
      <c r="ES10" s="105"/>
      <c r="ET10" s="105"/>
      <c r="EU10" s="105"/>
      <c r="EV10" s="105"/>
      <c r="EW10" s="105"/>
      <c r="EX10" s="105"/>
      <c r="EY10" s="105"/>
      <c r="EZ10" s="105"/>
      <c r="FA10" s="105"/>
      <c r="FB10" s="105"/>
      <c r="FC10" s="105"/>
      <c r="FD10" s="105"/>
      <c r="FE10" s="105"/>
      <c r="FF10" s="105"/>
      <c r="FG10" s="105"/>
      <c r="FH10" s="105"/>
      <c r="FI10" s="105"/>
      <c r="FJ10" s="105"/>
      <c r="FK10" s="105"/>
      <c r="FL10" s="105"/>
      <c r="FM10" s="105"/>
      <c r="FN10" s="105"/>
      <c r="FO10" s="105"/>
      <c r="FP10" s="105"/>
      <c r="FQ10" s="105"/>
      <c r="FR10" s="105"/>
      <c r="FS10" s="105"/>
      <c r="FT10" s="105"/>
      <c r="FU10" s="105"/>
      <c r="FV10" s="105"/>
      <c r="FW10" s="105"/>
      <c r="FX10" s="105"/>
      <c r="FY10" s="105"/>
      <c r="FZ10" s="105"/>
      <c r="GA10" s="105"/>
      <c r="GB10" s="105"/>
      <c r="GC10" s="105"/>
      <c r="GD10" s="105"/>
      <c r="GE10" s="105"/>
      <c r="GF10" s="105"/>
      <c r="GG10" s="105"/>
      <c r="GH10" s="105"/>
      <c r="GI10" s="105"/>
      <c r="GJ10" s="105"/>
      <c r="GK10" s="105"/>
      <c r="GL10" s="105"/>
      <c r="GM10" s="105"/>
      <c r="GN10" s="105"/>
      <c r="GO10" s="105"/>
      <c r="GP10" s="105"/>
      <c r="GQ10" s="105"/>
      <c r="GR10" s="105"/>
      <c r="GS10" s="105"/>
      <c r="GT10" s="105"/>
      <c r="GU10" s="105"/>
      <c r="GV10" s="105"/>
      <c r="GW10" s="105"/>
      <c r="GX10" s="105"/>
      <c r="GY10" s="105"/>
      <c r="GZ10" s="105"/>
      <c r="HA10" s="105"/>
      <c r="HB10" s="105"/>
      <c r="HC10" s="105"/>
      <c r="HD10" s="105"/>
      <c r="HE10" s="105"/>
      <c r="HF10" s="105"/>
      <c r="HG10" s="105"/>
      <c r="HH10" s="105"/>
      <c r="HI10" s="105"/>
      <c r="HJ10" s="105"/>
      <c r="HK10" s="105"/>
      <c r="HL10" s="105"/>
      <c r="HM10" s="105"/>
      <c r="HN10" s="105"/>
      <c r="HO10" s="105"/>
      <c r="HP10" s="105"/>
      <c r="HQ10" s="105"/>
      <c r="HR10" s="105"/>
      <c r="HS10" s="105"/>
      <c r="HT10" s="105"/>
      <c r="HU10" s="105"/>
      <c r="HV10" s="105"/>
      <c r="HW10" s="105"/>
      <c r="HX10" s="105"/>
      <c r="HY10" s="105"/>
      <c r="HZ10" s="105"/>
      <c r="IA10" s="105"/>
      <c r="IB10" s="105"/>
      <c r="IC10" s="105"/>
      <c r="ID10" s="105"/>
      <c r="IE10" s="105"/>
      <c r="IF10" s="105"/>
      <c r="IG10" s="105"/>
      <c r="IH10" s="105"/>
      <c r="II10" s="105"/>
      <c r="IJ10" s="105"/>
      <c r="IK10" s="105"/>
      <c r="IL10" s="105"/>
      <c r="IM10" s="105"/>
      <c r="IN10" s="105"/>
      <c r="IO10" s="105"/>
      <c r="IP10" s="105"/>
      <c r="IQ10" s="105"/>
      <c r="IR10" s="105"/>
      <c r="IS10" s="105"/>
      <c r="IT10" s="105"/>
      <c r="IU10" s="105"/>
      <c r="IV10" s="105"/>
      <c r="IW10" s="105"/>
      <c r="IX10" s="105"/>
      <c r="IY10" s="105"/>
      <c r="IZ10" s="105"/>
      <c r="JA10" s="105"/>
      <c r="JB10" s="105"/>
      <c r="JC10" s="105"/>
      <c r="JD10" s="105"/>
      <c r="JE10" s="105"/>
      <c r="JF10" s="105"/>
      <c r="JG10" s="105"/>
      <c r="JH10" s="105"/>
      <c r="JI10" s="105"/>
      <c r="JJ10" s="105"/>
      <c r="JK10" s="105"/>
      <c r="JL10" s="105"/>
      <c r="JM10" s="105"/>
      <c r="JN10" s="105"/>
      <c r="JO10" s="105"/>
      <c r="JP10" s="105"/>
      <c r="JQ10" s="105"/>
      <c r="JR10" s="105"/>
      <c r="JS10" s="105"/>
      <c r="JT10" s="105"/>
      <c r="JU10" s="105"/>
      <c r="JV10" s="105"/>
      <c r="JW10" s="105"/>
      <c r="JX10" s="105"/>
      <c r="JY10" s="105"/>
      <c r="JZ10" s="105"/>
      <c r="KA10" s="105"/>
      <c r="KB10" s="105"/>
      <c r="KC10" s="105"/>
      <c r="KD10" s="105"/>
      <c r="KE10" s="105"/>
      <c r="KF10" s="105"/>
      <c r="KG10" s="105"/>
      <c r="KH10" s="105"/>
      <c r="KI10" s="105"/>
      <c r="KJ10" s="105"/>
      <c r="KK10" s="105"/>
      <c r="KL10" s="105"/>
      <c r="KM10" s="105"/>
      <c r="KN10" s="105"/>
      <c r="KO10" s="105"/>
      <c r="KP10" s="105"/>
      <c r="KQ10" s="105"/>
      <c r="KR10" s="105"/>
      <c r="KS10" s="105"/>
      <c r="KT10" s="105"/>
      <c r="KU10" s="105"/>
      <c r="KV10" s="105"/>
      <c r="KW10" s="105"/>
      <c r="KX10" s="105"/>
      <c r="KY10" s="105"/>
      <c r="KZ10" s="105"/>
      <c r="LA10" s="105"/>
      <c r="LB10" s="105"/>
      <c r="LC10" s="105"/>
      <c r="LD10" s="105"/>
      <c r="LE10" s="105"/>
      <c r="LF10" s="105"/>
      <c r="LG10" s="105"/>
      <c r="LH10" s="105"/>
      <c r="LI10" s="105"/>
      <c r="LJ10" s="105"/>
      <c r="LK10" s="105"/>
      <c r="LL10" s="105"/>
      <c r="LM10" s="105"/>
      <c r="LN10" s="105"/>
      <c r="LO10" s="105"/>
      <c r="LP10" s="105"/>
      <c r="LQ10" s="105"/>
      <c r="LR10" s="105"/>
      <c r="LS10" s="105"/>
      <c r="LT10" s="105"/>
      <c r="LU10" s="105"/>
      <c r="LV10" s="105"/>
      <c r="LW10" s="105"/>
      <c r="LX10" s="105"/>
      <c r="LY10" s="105"/>
      <c r="LZ10" s="105"/>
      <c r="MA10" s="105"/>
      <c r="MB10" s="105"/>
      <c r="MC10" s="105"/>
      <c r="MD10" s="105"/>
      <c r="ME10" s="105"/>
      <c r="MF10" s="105"/>
      <c r="MG10" s="105"/>
      <c r="MH10" s="105"/>
      <c r="MI10" s="105"/>
      <c r="MJ10" s="105"/>
      <c r="MK10" s="105"/>
      <c r="ML10" s="105"/>
      <c r="MM10" s="105"/>
      <c r="MN10" s="105"/>
      <c r="MO10" s="105"/>
      <c r="MP10" s="105"/>
      <c r="MQ10" s="105"/>
      <c r="MR10" s="105"/>
      <c r="MS10" s="105"/>
      <c r="MT10" s="105"/>
      <c r="MU10" s="105"/>
      <c r="MV10" s="105"/>
      <c r="MW10" s="105"/>
      <c r="MX10" s="105"/>
      <c r="MY10" s="105"/>
      <c r="MZ10" s="105"/>
      <c r="NA10" s="105"/>
      <c r="NB10" s="105"/>
      <c r="NC10" s="105"/>
      <c r="ND10" s="105"/>
      <c r="NE10" s="105"/>
      <c r="NF10" s="105"/>
      <c r="NG10" s="105"/>
      <c r="NH10" s="105"/>
      <c r="NI10" s="105"/>
      <c r="NJ10" s="105"/>
      <c r="NK10" s="105"/>
      <c r="NL10" s="105"/>
      <c r="NM10" s="105"/>
      <c r="NN10" s="105"/>
      <c r="NO10" s="105"/>
      <c r="NP10" s="105"/>
      <c r="NQ10" s="105"/>
      <c r="NR10" s="105"/>
      <c r="NS10" s="105"/>
      <c r="NT10" s="105"/>
      <c r="NU10" s="105"/>
      <c r="NV10" s="105"/>
      <c r="NW10" s="105"/>
      <c r="NX10" s="105"/>
      <c r="NY10" s="105"/>
      <c r="NZ10" s="105"/>
      <c r="OA10" s="105"/>
      <c r="OB10" s="105"/>
      <c r="OC10" s="105"/>
      <c r="OD10" s="105"/>
      <c r="OE10" s="105"/>
      <c r="OF10" s="105"/>
      <c r="OG10" s="105"/>
      <c r="OH10" s="105"/>
      <c r="OI10" s="105"/>
      <c r="OJ10" s="105"/>
      <c r="OK10" s="105"/>
      <c r="OL10" s="105"/>
      <c r="OM10" s="105"/>
      <c r="ON10" s="105"/>
      <c r="OO10" s="105"/>
      <c r="OP10" s="105"/>
      <c r="OQ10" s="105"/>
      <c r="OR10" s="105"/>
      <c r="OS10" s="105"/>
      <c r="OT10" s="105"/>
      <c r="OU10" s="105"/>
      <c r="OV10" s="105"/>
      <c r="OW10" s="105"/>
      <c r="OX10" s="105"/>
      <c r="OY10" s="105"/>
      <c r="OZ10" s="105"/>
      <c r="PA10" s="105"/>
      <c r="PB10" s="105"/>
      <c r="PC10" s="105"/>
      <c r="PD10" s="105"/>
      <c r="PE10" s="105"/>
      <c r="PF10" s="105"/>
      <c r="PG10" s="105"/>
      <c r="PH10" s="105"/>
      <c r="PI10" s="105"/>
      <c r="PJ10" s="105"/>
      <c r="PK10" s="105"/>
      <c r="PL10" s="105"/>
      <c r="PM10" s="105"/>
      <c r="PN10" s="105"/>
      <c r="PO10" s="105"/>
      <c r="PP10" s="105"/>
      <c r="PQ10" s="105"/>
      <c r="PR10" s="105"/>
      <c r="PS10" s="105"/>
      <c r="PT10" s="105"/>
      <c r="PU10" s="105"/>
      <c r="PV10" s="105"/>
      <c r="PW10" s="105"/>
      <c r="PX10" s="105"/>
      <c r="PY10" s="105"/>
      <c r="PZ10" s="105"/>
      <c r="QA10" s="105"/>
      <c r="QB10" s="105"/>
      <c r="QC10" s="105"/>
      <c r="QD10" s="105"/>
      <c r="QE10" s="105"/>
      <c r="QF10" s="105"/>
      <c r="QG10" s="105"/>
      <c r="QH10" s="105"/>
      <c r="QI10" s="105"/>
      <c r="QJ10" s="105"/>
      <c r="QK10" s="105"/>
      <c r="QL10" s="105"/>
      <c r="QM10" s="105"/>
      <c r="QN10" s="105"/>
      <c r="QO10" s="105"/>
      <c r="QP10" s="105"/>
      <c r="QQ10" s="105"/>
      <c r="QR10" s="105"/>
      <c r="QS10" s="105"/>
      <c r="QT10" s="105"/>
      <c r="QU10" s="105"/>
      <c r="QV10" s="105"/>
      <c r="QW10" s="105"/>
      <c r="QX10" s="105"/>
      <c r="QY10" s="105"/>
      <c r="QZ10" s="105"/>
      <c r="RA10" s="105"/>
      <c r="RB10" s="105"/>
      <c r="RC10" s="105"/>
      <c r="RD10" s="105"/>
      <c r="RE10" s="105"/>
      <c r="RF10" s="105"/>
      <c r="RG10" s="105"/>
      <c r="RH10" s="105"/>
      <c r="RI10" s="105"/>
      <c r="RJ10" s="105"/>
    </row>
    <row r="11" spans="1:478" s="106" customFormat="1" ht="27" customHeight="1" x14ac:dyDescent="0.25">
      <c r="A11" s="101" t="s">
        <v>22</v>
      </c>
      <c r="B11" s="102" t="s">
        <v>125</v>
      </c>
      <c r="C11" s="103">
        <f>Consommable[[#Totals],[Prix Total /Projet]]</f>
        <v>1917010</v>
      </c>
      <c r="D11" s="103">
        <f ca="1">+SUM(Consommable[[#Totals],[J01]:[J24]])</f>
        <v>0</v>
      </c>
      <c r="E11" s="103">
        <f ca="1">+Tableau15[[#This Row],[MONTANT ]]-Tableau15[[#This Row],[REALISATIONS]]</f>
        <v>1917010</v>
      </c>
      <c r="F11" s="104" t="str">
        <f ca="1">IF(+Tableau15[[#This Row],[REALISATIONS]]=0,"-",Tableau15[[#This Row],[REALISATIONS]]/Tableau15[[#This Row],[MONTANT ]])</f>
        <v>-</v>
      </c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5"/>
      <c r="CM11" s="105"/>
      <c r="CN11" s="105"/>
      <c r="CO11" s="105"/>
      <c r="CP11" s="105"/>
      <c r="CQ11" s="105"/>
      <c r="CR11" s="105"/>
      <c r="CS11" s="105"/>
      <c r="CT11" s="105"/>
      <c r="CU11" s="105"/>
      <c r="CV11" s="105"/>
      <c r="CW11" s="105"/>
      <c r="CX11" s="105"/>
      <c r="CY11" s="105"/>
      <c r="CZ11" s="105"/>
      <c r="DA11" s="105"/>
      <c r="DB11" s="105"/>
      <c r="DC11" s="105"/>
      <c r="DD11" s="105"/>
      <c r="DE11" s="105"/>
      <c r="DF11" s="105"/>
      <c r="DG11" s="105"/>
      <c r="DH11" s="105"/>
      <c r="DI11" s="105"/>
      <c r="DJ11" s="105"/>
      <c r="DK11" s="105"/>
      <c r="DL11" s="105"/>
      <c r="DM11" s="105"/>
      <c r="DN11" s="105"/>
      <c r="DO11" s="105"/>
      <c r="DP11" s="105"/>
      <c r="DQ11" s="105"/>
      <c r="DR11" s="105"/>
      <c r="DS11" s="105"/>
      <c r="DT11" s="105"/>
      <c r="DU11" s="105"/>
      <c r="DV11" s="105"/>
      <c r="DW11" s="105"/>
      <c r="DX11" s="105"/>
      <c r="DY11" s="105"/>
      <c r="DZ11" s="105"/>
      <c r="EA11" s="105"/>
      <c r="EB11" s="105"/>
      <c r="EC11" s="105"/>
      <c r="ED11" s="105"/>
      <c r="EE11" s="105"/>
      <c r="EF11" s="105"/>
      <c r="EG11" s="105"/>
      <c r="EH11" s="105"/>
      <c r="EI11" s="105"/>
      <c r="EJ11" s="105"/>
      <c r="EK11" s="105"/>
      <c r="EL11" s="105"/>
      <c r="EM11" s="105"/>
      <c r="EN11" s="105"/>
      <c r="EO11" s="105"/>
      <c r="EP11" s="105"/>
      <c r="EQ11" s="105"/>
      <c r="ER11" s="105"/>
      <c r="ES11" s="105"/>
      <c r="ET11" s="105"/>
      <c r="EU11" s="105"/>
      <c r="EV11" s="105"/>
      <c r="EW11" s="105"/>
      <c r="EX11" s="105"/>
      <c r="EY11" s="105"/>
      <c r="EZ11" s="105"/>
      <c r="FA11" s="105"/>
      <c r="FB11" s="105"/>
      <c r="FC11" s="105"/>
      <c r="FD11" s="105"/>
      <c r="FE11" s="105"/>
      <c r="FF11" s="105"/>
      <c r="FG11" s="105"/>
      <c r="FH11" s="105"/>
      <c r="FI11" s="105"/>
      <c r="FJ11" s="105"/>
      <c r="FK11" s="105"/>
      <c r="FL11" s="105"/>
      <c r="FM11" s="105"/>
      <c r="FN11" s="105"/>
      <c r="FO11" s="105"/>
      <c r="FP11" s="105"/>
      <c r="FQ11" s="105"/>
      <c r="FR11" s="105"/>
      <c r="FS11" s="105"/>
      <c r="FT11" s="105"/>
      <c r="FU11" s="105"/>
      <c r="FV11" s="105"/>
      <c r="FW11" s="105"/>
      <c r="FX11" s="105"/>
      <c r="FY11" s="105"/>
      <c r="FZ11" s="105"/>
      <c r="GA11" s="105"/>
      <c r="GB11" s="105"/>
      <c r="GC11" s="105"/>
      <c r="GD11" s="105"/>
      <c r="GE11" s="105"/>
      <c r="GF11" s="105"/>
      <c r="GG11" s="105"/>
      <c r="GH11" s="105"/>
      <c r="GI11" s="105"/>
      <c r="GJ11" s="105"/>
      <c r="GK11" s="105"/>
      <c r="GL11" s="105"/>
      <c r="GM11" s="105"/>
      <c r="GN11" s="105"/>
      <c r="GO11" s="105"/>
      <c r="GP11" s="105"/>
      <c r="GQ11" s="105"/>
      <c r="GR11" s="105"/>
      <c r="GS11" s="105"/>
      <c r="GT11" s="105"/>
      <c r="GU11" s="105"/>
      <c r="GV11" s="105"/>
      <c r="GW11" s="105"/>
      <c r="GX11" s="105"/>
      <c r="GY11" s="105"/>
      <c r="GZ11" s="105"/>
      <c r="HA11" s="105"/>
      <c r="HB11" s="105"/>
      <c r="HC11" s="105"/>
      <c r="HD11" s="105"/>
      <c r="HE11" s="105"/>
      <c r="HF11" s="105"/>
      <c r="HG11" s="105"/>
      <c r="HH11" s="105"/>
      <c r="HI11" s="105"/>
      <c r="HJ11" s="105"/>
      <c r="HK11" s="105"/>
      <c r="HL11" s="105"/>
      <c r="HM11" s="105"/>
      <c r="HN11" s="105"/>
      <c r="HO11" s="105"/>
      <c r="HP11" s="105"/>
      <c r="HQ11" s="105"/>
      <c r="HR11" s="105"/>
      <c r="HS11" s="105"/>
      <c r="HT11" s="105"/>
      <c r="HU11" s="105"/>
      <c r="HV11" s="105"/>
      <c r="HW11" s="105"/>
      <c r="HX11" s="105"/>
      <c r="HY11" s="105"/>
      <c r="HZ11" s="105"/>
      <c r="IA11" s="105"/>
      <c r="IB11" s="105"/>
      <c r="IC11" s="105"/>
      <c r="ID11" s="105"/>
      <c r="IE11" s="105"/>
      <c r="IF11" s="105"/>
      <c r="IG11" s="105"/>
      <c r="IH11" s="105"/>
      <c r="II11" s="105"/>
      <c r="IJ11" s="105"/>
      <c r="IK11" s="105"/>
      <c r="IL11" s="105"/>
      <c r="IM11" s="105"/>
      <c r="IN11" s="105"/>
      <c r="IO11" s="105"/>
      <c r="IP11" s="105"/>
      <c r="IQ11" s="105"/>
      <c r="IR11" s="105"/>
      <c r="IS11" s="105"/>
      <c r="IT11" s="105"/>
      <c r="IU11" s="105"/>
      <c r="IV11" s="105"/>
      <c r="IW11" s="105"/>
      <c r="IX11" s="105"/>
      <c r="IY11" s="105"/>
      <c r="IZ11" s="105"/>
      <c r="JA11" s="105"/>
      <c r="JB11" s="105"/>
      <c r="JC11" s="105"/>
      <c r="JD11" s="105"/>
      <c r="JE11" s="105"/>
      <c r="JF11" s="105"/>
      <c r="JG11" s="105"/>
      <c r="JH11" s="105"/>
      <c r="JI11" s="105"/>
      <c r="JJ11" s="105"/>
      <c r="JK11" s="105"/>
      <c r="JL11" s="105"/>
      <c r="JM11" s="105"/>
      <c r="JN11" s="105"/>
      <c r="JO11" s="105"/>
      <c r="JP11" s="105"/>
      <c r="JQ11" s="105"/>
      <c r="JR11" s="105"/>
      <c r="JS11" s="105"/>
      <c r="JT11" s="105"/>
      <c r="JU11" s="105"/>
      <c r="JV11" s="105"/>
      <c r="JW11" s="105"/>
      <c r="JX11" s="105"/>
      <c r="JY11" s="105"/>
      <c r="JZ11" s="105"/>
      <c r="KA11" s="105"/>
      <c r="KB11" s="105"/>
      <c r="KC11" s="105"/>
      <c r="KD11" s="105"/>
      <c r="KE11" s="105"/>
      <c r="KF11" s="105"/>
      <c r="KG11" s="105"/>
      <c r="KH11" s="105"/>
      <c r="KI11" s="105"/>
      <c r="KJ11" s="105"/>
      <c r="KK11" s="105"/>
      <c r="KL11" s="105"/>
      <c r="KM11" s="105"/>
      <c r="KN11" s="105"/>
      <c r="KO11" s="105"/>
      <c r="KP11" s="105"/>
      <c r="KQ11" s="105"/>
      <c r="KR11" s="105"/>
      <c r="KS11" s="105"/>
      <c r="KT11" s="105"/>
      <c r="KU11" s="105"/>
      <c r="KV11" s="105"/>
      <c r="KW11" s="105"/>
      <c r="KX11" s="105"/>
      <c r="KY11" s="105"/>
      <c r="KZ11" s="105"/>
      <c r="LA11" s="105"/>
      <c r="LB11" s="105"/>
      <c r="LC11" s="105"/>
      <c r="LD11" s="105"/>
      <c r="LE11" s="105"/>
      <c r="LF11" s="105"/>
      <c r="LG11" s="105"/>
      <c r="LH11" s="105"/>
      <c r="LI11" s="105"/>
      <c r="LJ11" s="105"/>
      <c r="LK11" s="105"/>
      <c r="LL11" s="105"/>
      <c r="LM11" s="105"/>
      <c r="LN11" s="105"/>
      <c r="LO11" s="105"/>
      <c r="LP11" s="105"/>
      <c r="LQ11" s="105"/>
      <c r="LR11" s="105"/>
      <c r="LS11" s="105"/>
      <c r="LT11" s="105"/>
      <c r="LU11" s="105"/>
      <c r="LV11" s="105"/>
      <c r="LW11" s="105"/>
      <c r="LX11" s="105"/>
      <c r="LY11" s="105"/>
      <c r="LZ11" s="105"/>
      <c r="MA11" s="105"/>
      <c r="MB11" s="105"/>
      <c r="MC11" s="105"/>
      <c r="MD11" s="105"/>
      <c r="ME11" s="105"/>
      <c r="MF11" s="105"/>
      <c r="MG11" s="105"/>
      <c r="MH11" s="105"/>
      <c r="MI11" s="105"/>
      <c r="MJ11" s="105"/>
      <c r="MK11" s="105"/>
      <c r="ML11" s="105"/>
      <c r="MM11" s="105"/>
      <c r="MN11" s="105"/>
      <c r="MO11" s="105"/>
      <c r="MP11" s="105"/>
      <c r="MQ11" s="105"/>
      <c r="MR11" s="105"/>
      <c r="MS11" s="105"/>
      <c r="MT11" s="105"/>
      <c r="MU11" s="105"/>
      <c r="MV11" s="105"/>
      <c r="MW11" s="105"/>
      <c r="MX11" s="105"/>
      <c r="MY11" s="105"/>
      <c r="MZ11" s="105"/>
      <c r="NA11" s="105"/>
      <c r="NB11" s="105"/>
      <c r="NC11" s="105"/>
      <c r="ND11" s="105"/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  <c r="NS11" s="105"/>
      <c r="NT11" s="105"/>
      <c r="NU11" s="105"/>
      <c r="NV11" s="105"/>
      <c r="NW11" s="105"/>
      <c r="NX11" s="105"/>
      <c r="NY11" s="105"/>
      <c r="NZ11" s="105"/>
      <c r="OA11" s="105"/>
      <c r="OB11" s="105"/>
      <c r="OC11" s="105"/>
      <c r="OD11" s="105"/>
      <c r="OE11" s="105"/>
      <c r="OF11" s="105"/>
      <c r="OG11" s="105"/>
      <c r="OH11" s="105"/>
      <c r="OI11" s="105"/>
      <c r="OJ11" s="105"/>
      <c r="OK11" s="105"/>
      <c r="OL11" s="105"/>
      <c r="OM11" s="105"/>
      <c r="ON11" s="105"/>
      <c r="OO11" s="105"/>
      <c r="OP11" s="105"/>
      <c r="OQ11" s="105"/>
      <c r="OR11" s="105"/>
      <c r="OS11" s="105"/>
      <c r="OT11" s="105"/>
      <c r="OU11" s="105"/>
      <c r="OV11" s="105"/>
      <c r="OW11" s="105"/>
      <c r="OX11" s="105"/>
      <c r="OY11" s="105"/>
      <c r="OZ11" s="105"/>
      <c r="PA11" s="105"/>
      <c r="PB11" s="105"/>
      <c r="PC11" s="105"/>
      <c r="PD11" s="105"/>
      <c r="PE11" s="105"/>
      <c r="PF11" s="105"/>
      <c r="PG11" s="105"/>
      <c r="PH11" s="105"/>
      <c r="PI11" s="105"/>
      <c r="PJ11" s="105"/>
      <c r="PK11" s="105"/>
      <c r="PL11" s="105"/>
      <c r="PM11" s="105"/>
      <c r="PN11" s="105"/>
      <c r="PO11" s="105"/>
      <c r="PP11" s="105"/>
      <c r="PQ11" s="105"/>
      <c r="PR11" s="105"/>
      <c r="PS11" s="105"/>
      <c r="PT11" s="105"/>
      <c r="PU11" s="105"/>
      <c r="PV11" s="105"/>
      <c r="PW11" s="105"/>
      <c r="PX11" s="105"/>
      <c r="PY11" s="105"/>
      <c r="PZ11" s="105"/>
      <c r="QA11" s="105"/>
      <c r="QB11" s="105"/>
      <c r="QC11" s="105"/>
      <c r="QD11" s="105"/>
      <c r="QE11" s="105"/>
      <c r="QF11" s="105"/>
      <c r="QG11" s="105"/>
      <c r="QH11" s="105"/>
      <c r="QI11" s="105"/>
      <c r="QJ11" s="105"/>
      <c r="QK11" s="105"/>
      <c r="QL11" s="105"/>
      <c r="QM11" s="105"/>
      <c r="QN11" s="105"/>
      <c r="QO11" s="105"/>
      <c r="QP11" s="105"/>
      <c r="QQ11" s="105"/>
      <c r="QR11" s="105"/>
      <c r="QS11" s="105"/>
      <c r="QT11" s="105"/>
      <c r="QU11" s="105"/>
      <c r="QV11" s="105"/>
      <c r="QW11" s="105"/>
      <c r="QX11" s="105"/>
      <c r="QY11" s="105"/>
      <c r="QZ11" s="105"/>
      <c r="RA11" s="105"/>
      <c r="RB11" s="105"/>
      <c r="RC11" s="105"/>
      <c r="RD11" s="105"/>
      <c r="RE11" s="105"/>
      <c r="RF11" s="105"/>
      <c r="RG11" s="105"/>
      <c r="RH11" s="105"/>
      <c r="RI11" s="105"/>
      <c r="RJ11" s="105"/>
    </row>
    <row r="12" spans="1:478" s="106" customFormat="1" ht="27" customHeight="1" x14ac:dyDescent="0.25">
      <c r="A12" s="101" t="s">
        <v>23</v>
      </c>
      <c r="B12" s="102" t="s">
        <v>111</v>
      </c>
      <c r="C12" s="103">
        <f>Transport_de_matériel[[#Totals],[Prix Total]]</f>
        <v>3575000</v>
      </c>
      <c r="D12" s="103">
        <f>SUM(Transport_de_matériel[[#Totals],[J01]:[J24]])</f>
        <v>0</v>
      </c>
      <c r="E12" s="103">
        <f>+Tableau15[[#This Row],[MONTANT ]]-Tableau15[[#This Row],[REALISATIONS]]</f>
        <v>3575000</v>
      </c>
      <c r="F12" s="104" t="str">
        <f>IF(+Tableau15[[#This Row],[REALISATIONS]]=0,"-",Tableau15[[#This Row],[REALISATIONS]]/Tableau15[[#This Row],[MONTANT ]])</f>
        <v>-</v>
      </c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5"/>
      <c r="CM12" s="105"/>
      <c r="CN12" s="105"/>
      <c r="CO12" s="105"/>
      <c r="CP12" s="105"/>
      <c r="CQ12" s="105"/>
      <c r="CR12" s="105"/>
      <c r="CS12" s="105"/>
      <c r="CT12" s="105"/>
      <c r="CU12" s="105"/>
      <c r="CV12" s="105"/>
      <c r="CW12" s="105"/>
      <c r="CX12" s="105"/>
      <c r="CY12" s="105"/>
      <c r="CZ12" s="105"/>
      <c r="DA12" s="105"/>
      <c r="DB12" s="105"/>
      <c r="DC12" s="105"/>
      <c r="DD12" s="105"/>
      <c r="DE12" s="105"/>
      <c r="DF12" s="105"/>
      <c r="DG12" s="105"/>
      <c r="DH12" s="105"/>
      <c r="DI12" s="105"/>
      <c r="DJ12" s="105"/>
      <c r="DK12" s="105"/>
      <c r="DL12" s="105"/>
      <c r="DM12" s="105"/>
      <c r="DN12" s="105"/>
      <c r="DO12" s="105"/>
      <c r="DP12" s="105"/>
      <c r="DQ12" s="105"/>
      <c r="DR12" s="105"/>
      <c r="DS12" s="105"/>
      <c r="DT12" s="105"/>
      <c r="DU12" s="105"/>
      <c r="DV12" s="105"/>
      <c r="DW12" s="105"/>
      <c r="DX12" s="105"/>
      <c r="DY12" s="105"/>
      <c r="DZ12" s="105"/>
      <c r="EA12" s="105"/>
      <c r="EB12" s="105"/>
      <c r="EC12" s="105"/>
      <c r="ED12" s="105"/>
      <c r="EE12" s="105"/>
      <c r="EF12" s="105"/>
      <c r="EG12" s="105"/>
      <c r="EH12" s="105"/>
      <c r="EI12" s="105"/>
      <c r="EJ12" s="105"/>
      <c r="EK12" s="105"/>
      <c r="EL12" s="105"/>
      <c r="EM12" s="105"/>
      <c r="EN12" s="105"/>
      <c r="EO12" s="105"/>
      <c r="EP12" s="105"/>
      <c r="EQ12" s="105"/>
      <c r="ER12" s="105"/>
      <c r="ES12" s="105"/>
      <c r="ET12" s="105"/>
      <c r="EU12" s="105"/>
      <c r="EV12" s="105"/>
      <c r="EW12" s="105"/>
      <c r="EX12" s="105"/>
      <c r="EY12" s="105"/>
      <c r="EZ12" s="105"/>
      <c r="FA12" s="105"/>
      <c r="FB12" s="105"/>
      <c r="FC12" s="105"/>
      <c r="FD12" s="105"/>
      <c r="FE12" s="105"/>
      <c r="FF12" s="105"/>
      <c r="FG12" s="105"/>
      <c r="FH12" s="105"/>
      <c r="FI12" s="105"/>
      <c r="FJ12" s="105"/>
      <c r="FK12" s="105"/>
      <c r="FL12" s="105"/>
      <c r="FM12" s="105"/>
      <c r="FN12" s="105"/>
      <c r="FO12" s="105"/>
      <c r="FP12" s="105"/>
      <c r="FQ12" s="105"/>
      <c r="FR12" s="105"/>
      <c r="FS12" s="105"/>
      <c r="FT12" s="105"/>
      <c r="FU12" s="105"/>
      <c r="FV12" s="105"/>
      <c r="FW12" s="105"/>
      <c r="FX12" s="105"/>
      <c r="FY12" s="105"/>
      <c r="FZ12" s="105"/>
      <c r="GA12" s="105"/>
      <c r="GB12" s="105"/>
      <c r="GC12" s="105"/>
      <c r="GD12" s="105"/>
      <c r="GE12" s="105"/>
      <c r="GF12" s="105"/>
      <c r="GG12" s="105"/>
      <c r="GH12" s="105"/>
      <c r="GI12" s="105"/>
      <c r="GJ12" s="105"/>
      <c r="GK12" s="105"/>
      <c r="GL12" s="105"/>
      <c r="GM12" s="105"/>
      <c r="GN12" s="105"/>
      <c r="GO12" s="105"/>
      <c r="GP12" s="105"/>
      <c r="GQ12" s="105"/>
      <c r="GR12" s="105"/>
      <c r="GS12" s="105"/>
      <c r="GT12" s="105"/>
      <c r="GU12" s="105"/>
      <c r="GV12" s="105"/>
      <c r="GW12" s="105"/>
      <c r="GX12" s="105"/>
      <c r="GY12" s="105"/>
      <c r="GZ12" s="105"/>
      <c r="HA12" s="105"/>
      <c r="HB12" s="105"/>
      <c r="HC12" s="105"/>
      <c r="HD12" s="105"/>
      <c r="HE12" s="105"/>
      <c r="HF12" s="105"/>
      <c r="HG12" s="105"/>
      <c r="HH12" s="105"/>
      <c r="HI12" s="105"/>
      <c r="HJ12" s="105"/>
      <c r="HK12" s="105"/>
      <c r="HL12" s="105"/>
      <c r="HM12" s="105"/>
      <c r="HN12" s="105"/>
      <c r="HO12" s="105"/>
      <c r="HP12" s="105"/>
      <c r="HQ12" s="105"/>
      <c r="HR12" s="105"/>
      <c r="HS12" s="105"/>
      <c r="HT12" s="105"/>
      <c r="HU12" s="105"/>
      <c r="HV12" s="105"/>
      <c r="HW12" s="105"/>
      <c r="HX12" s="105"/>
      <c r="HY12" s="105"/>
      <c r="HZ12" s="105"/>
      <c r="IA12" s="105"/>
      <c r="IB12" s="105"/>
      <c r="IC12" s="105"/>
      <c r="ID12" s="105"/>
      <c r="IE12" s="105"/>
      <c r="IF12" s="105"/>
      <c r="IG12" s="105"/>
      <c r="IH12" s="105"/>
      <c r="II12" s="105"/>
      <c r="IJ12" s="105"/>
      <c r="IK12" s="105"/>
      <c r="IL12" s="105"/>
      <c r="IM12" s="105"/>
      <c r="IN12" s="105"/>
      <c r="IO12" s="105"/>
      <c r="IP12" s="105"/>
      <c r="IQ12" s="105"/>
      <c r="IR12" s="105"/>
      <c r="IS12" s="105"/>
      <c r="IT12" s="105"/>
      <c r="IU12" s="105"/>
      <c r="IV12" s="105"/>
      <c r="IW12" s="105"/>
      <c r="IX12" s="105"/>
      <c r="IY12" s="105"/>
      <c r="IZ12" s="105"/>
      <c r="JA12" s="105"/>
      <c r="JB12" s="105"/>
      <c r="JC12" s="105"/>
      <c r="JD12" s="105"/>
      <c r="JE12" s="105"/>
      <c r="JF12" s="105"/>
      <c r="JG12" s="105"/>
      <c r="JH12" s="105"/>
      <c r="JI12" s="105"/>
      <c r="JJ12" s="105"/>
      <c r="JK12" s="105"/>
      <c r="JL12" s="105"/>
      <c r="JM12" s="105"/>
      <c r="JN12" s="105"/>
      <c r="JO12" s="105"/>
      <c r="JP12" s="105"/>
      <c r="JQ12" s="105"/>
      <c r="JR12" s="105"/>
      <c r="JS12" s="105"/>
      <c r="JT12" s="105"/>
      <c r="JU12" s="105"/>
      <c r="JV12" s="105"/>
      <c r="JW12" s="105"/>
      <c r="JX12" s="105"/>
      <c r="JY12" s="105"/>
      <c r="JZ12" s="105"/>
      <c r="KA12" s="105"/>
      <c r="KB12" s="105"/>
      <c r="KC12" s="105"/>
      <c r="KD12" s="105"/>
      <c r="KE12" s="105"/>
      <c r="KF12" s="105"/>
      <c r="KG12" s="105"/>
      <c r="KH12" s="105"/>
      <c r="KI12" s="105"/>
      <c r="KJ12" s="105"/>
      <c r="KK12" s="105"/>
      <c r="KL12" s="105"/>
      <c r="KM12" s="105"/>
      <c r="KN12" s="105"/>
      <c r="KO12" s="105"/>
      <c r="KP12" s="105"/>
      <c r="KQ12" s="105"/>
      <c r="KR12" s="105"/>
      <c r="KS12" s="105"/>
      <c r="KT12" s="105"/>
      <c r="KU12" s="105"/>
      <c r="KV12" s="105"/>
      <c r="KW12" s="105"/>
      <c r="KX12" s="105"/>
      <c r="KY12" s="105"/>
      <c r="KZ12" s="105"/>
      <c r="LA12" s="105"/>
      <c r="LB12" s="105"/>
      <c r="LC12" s="105"/>
      <c r="LD12" s="105"/>
      <c r="LE12" s="105"/>
      <c r="LF12" s="105"/>
      <c r="LG12" s="105"/>
      <c r="LH12" s="105"/>
      <c r="LI12" s="105"/>
      <c r="LJ12" s="105"/>
      <c r="LK12" s="105"/>
      <c r="LL12" s="105"/>
      <c r="LM12" s="105"/>
      <c r="LN12" s="105"/>
      <c r="LO12" s="105"/>
      <c r="LP12" s="105"/>
      <c r="LQ12" s="105"/>
      <c r="LR12" s="105"/>
      <c r="LS12" s="105"/>
      <c r="LT12" s="105"/>
      <c r="LU12" s="105"/>
      <c r="LV12" s="105"/>
      <c r="LW12" s="105"/>
      <c r="LX12" s="105"/>
      <c r="LY12" s="105"/>
      <c r="LZ12" s="105"/>
      <c r="MA12" s="105"/>
      <c r="MB12" s="105"/>
      <c r="MC12" s="105"/>
      <c r="MD12" s="105"/>
      <c r="ME12" s="105"/>
      <c r="MF12" s="105"/>
      <c r="MG12" s="105"/>
      <c r="MH12" s="105"/>
      <c r="MI12" s="105"/>
      <c r="MJ12" s="105"/>
      <c r="MK12" s="105"/>
      <c r="ML12" s="105"/>
      <c r="MM12" s="105"/>
      <c r="MN12" s="105"/>
      <c r="MO12" s="105"/>
      <c r="MP12" s="105"/>
      <c r="MQ12" s="105"/>
      <c r="MR12" s="105"/>
      <c r="MS12" s="105"/>
      <c r="MT12" s="105"/>
      <c r="MU12" s="105"/>
      <c r="MV12" s="105"/>
      <c r="MW12" s="105"/>
      <c r="MX12" s="105"/>
      <c r="MY12" s="105"/>
      <c r="MZ12" s="105"/>
      <c r="NA12" s="105"/>
      <c r="NB12" s="105"/>
      <c r="NC12" s="105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  <c r="NS12" s="105"/>
      <c r="NT12" s="105"/>
      <c r="NU12" s="105"/>
      <c r="NV12" s="105"/>
      <c r="NW12" s="105"/>
      <c r="NX12" s="105"/>
      <c r="NY12" s="105"/>
      <c r="NZ12" s="105"/>
      <c r="OA12" s="105"/>
      <c r="OB12" s="105"/>
      <c r="OC12" s="105"/>
      <c r="OD12" s="105"/>
      <c r="OE12" s="105"/>
      <c r="OF12" s="105"/>
      <c r="OG12" s="105"/>
      <c r="OH12" s="105"/>
      <c r="OI12" s="105"/>
      <c r="OJ12" s="105"/>
      <c r="OK12" s="105"/>
      <c r="OL12" s="105"/>
      <c r="OM12" s="105"/>
      <c r="ON12" s="105"/>
      <c r="OO12" s="105"/>
      <c r="OP12" s="105"/>
      <c r="OQ12" s="105"/>
      <c r="OR12" s="105"/>
      <c r="OS12" s="105"/>
      <c r="OT12" s="105"/>
      <c r="OU12" s="105"/>
      <c r="OV12" s="105"/>
      <c r="OW12" s="105"/>
      <c r="OX12" s="105"/>
      <c r="OY12" s="105"/>
      <c r="OZ12" s="105"/>
      <c r="PA12" s="105"/>
      <c r="PB12" s="105"/>
      <c r="PC12" s="105"/>
      <c r="PD12" s="105"/>
      <c r="PE12" s="105"/>
      <c r="PF12" s="105"/>
      <c r="PG12" s="105"/>
      <c r="PH12" s="105"/>
      <c r="PI12" s="105"/>
      <c r="PJ12" s="105"/>
      <c r="PK12" s="105"/>
      <c r="PL12" s="105"/>
      <c r="PM12" s="105"/>
      <c r="PN12" s="105"/>
      <c r="PO12" s="105"/>
      <c r="PP12" s="105"/>
      <c r="PQ12" s="105"/>
      <c r="PR12" s="105"/>
      <c r="PS12" s="105"/>
      <c r="PT12" s="105"/>
      <c r="PU12" s="105"/>
      <c r="PV12" s="105"/>
      <c r="PW12" s="105"/>
      <c r="PX12" s="105"/>
      <c r="PY12" s="105"/>
      <c r="PZ12" s="105"/>
      <c r="QA12" s="105"/>
      <c r="QB12" s="105"/>
      <c r="QC12" s="105"/>
      <c r="QD12" s="105"/>
      <c r="QE12" s="105"/>
      <c r="QF12" s="105"/>
      <c r="QG12" s="105"/>
      <c r="QH12" s="105"/>
      <c r="QI12" s="105"/>
      <c r="QJ12" s="105"/>
      <c r="QK12" s="105"/>
      <c r="QL12" s="105"/>
      <c r="QM12" s="105"/>
      <c r="QN12" s="105"/>
      <c r="QO12" s="105"/>
      <c r="QP12" s="105"/>
      <c r="QQ12" s="105"/>
      <c r="QR12" s="105"/>
      <c r="QS12" s="105"/>
      <c r="QT12" s="105"/>
      <c r="QU12" s="105"/>
      <c r="QV12" s="105"/>
      <c r="QW12" s="105"/>
      <c r="QX12" s="105"/>
      <c r="QY12" s="105"/>
      <c r="QZ12" s="105"/>
      <c r="RA12" s="105"/>
      <c r="RB12" s="105"/>
      <c r="RC12" s="105"/>
      <c r="RD12" s="105"/>
      <c r="RE12" s="105"/>
      <c r="RF12" s="105"/>
      <c r="RG12" s="105"/>
      <c r="RH12" s="105"/>
      <c r="RI12" s="105"/>
      <c r="RJ12" s="105"/>
    </row>
    <row r="13" spans="1:478" s="106" customFormat="1" ht="27" customHeight="1" x14ac:dyDescent="0.25">
      <c r="A13" s="101" t="s">
        <v>24</v>
      </c>
      <c r="B13" s="102" t="s">
        <v>112</v>
      </c>
      <c r="C13" s="103">
        <f>Supervision[[#Totals],[Coût global salarial]]</f>
        <v>14336000</v>
      </c>
      <c r="D13" s="103">
        <f>SUM(Supervision[[#Totals],[J01]:[J24]])</f>
        <v>0</v>
      </c>
      <c r="E13" s="103">
        <f>+Tableau15[[#This Row],[MONTANT ]]-Tableau15[[#This Row],[REALISATIONS]]</f>
        <v>14336000</v>
      </c>
      <c r="F13" s="104" t="str">
        <f>IF(+Tableau15[[#This Row],[REALISATIONS]]=0,"-",Tableau15[[#This Row],[REALISATIONS]]/Tableau15[[#This Row],[MONTANT ]])</f>
        <v>-</v>
      </c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5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5"/>
      <c r="CM13" s="105"/>
      <c r="CN13" s="105"/>
      <c r="CO13" s="105"/>
      <c r="CP13" s="105"/>
      <c r="CQ13" s="105"/>
      <c r="CR13" s="105"/>
      <c r="CS13" s="105"/>
      <c r="CT13" s="105"/>
      <c r="CU13" s="105"/>
      <c r="CV13" s="105"/>
      <c r="CW13" s="105"/>
      <c r="CX13" s="105"/>
      <c r="CY13" s="105"/>
      <c r="CZ13" s="105"/>
      <c r="DA13" s="105"/>
      <c r="DB13" s="105"/>
      <c r="DC13" s="105"/>
      <c r="DD13" s="105"/>
      <c r="DE13" s="105"/>
      <c r="DF13" s="105"/>
      <c r="DG13" s="105"/>
      <c r="DH13" s="105"/>
      <c r="DI13" s="105"/>
      <c r="DJ13" s="105"/>
      <c r="DK13" s="105"/>
      <c r="DL13" s="105"/>
      <c r="DM13" s="105"/>
      <c r="DN13" s="105"/>
      <c r="DO13" s="105"/>
      <c r="DP13" s="105"/>
      <c r="DQ13" s="105"/>
      <c r="DR13" s="105"/>
      <c r="DS13" s="105"/>
      <c r="DT13" s="105"/>
      <c r="DU13" s="105"/>
      <c r="DV13" s="105"/>
      <c r="DW13" s="105"/>
      <c r="DX13" s="105"/>
      <c r="DY13" s="105"/>
      <c r="DZ13" s="105"/>
      <c r="EA13" s="105"/>
      <c r="EB13" s="105"/>
      <c r="EC13" s="105"/>
      <c r="ED13" s="105"/>
      <c r="EE13" s="105"/>
      <c r="EF13" s="105"/>
      <c r="EG13" s="105"/>
      <c r="EH13" s="105"/>
      <c r="EI13" s="105"/>
      <c r="EJ13" s="105"/>
      <c r="EK13" s="105"/>
      <c r="EL13" s="105"/>
      <c r="EM13" s="105"/>
      <c r="EN13" s="105"/>
      <c r="EO13" s="105"/>
      <c r="EP13" s="105"/>
      <c r="EQ13" s="105"/>
      <c r="ER13" s="105"/>
      <c r="ES13" s="105"/>
      <c r="ET13" s="105"/>
      <c r="EU13" s="105"/>
      <c r="EV13" s="105"/>
      <c r="EW13" s="105"/>
      <c r="EX13" s="105"/>
      <c r="EY13" s="105"/>
      <c r="EZ13" s="105"/>
      <c r="FA13" s="105"/>
      <c r="FB13" s="105"/>
      <c r="FC13" s="105"/>
      <c r="FD13" s="105"/>
      <c r="FE13" s="105"/>
      <c r="FF13" s="105"/>
      <c r="FG13" s="105"/>
      <c r="FH13" s="105"/>
      <c r="FI13" s="105"/>
      <c r="FJ13" s="105"/>
      <c r="FK13" s="105"/>
      <c r="FL13" s="105"/>
      <c r="FM13" s="105"/>
      <c r="FN13" s="105"/>
      <c r="FO13" s="105"/>
      <c r="FP13" s="105"/>
      <c r="FQ13" s="105"/>
      <c r="FR13" s="105"/>
      <c r="FS13" s="105"/>
      <c r="FT13" s="105"/>
      <c r="FU13" s="105"/>
      <c r="FV13" s="105"/>
      <c r="FW13" s="105"/>
      <c r="FX13" s="105"/>
      <c r="FY13" s="105"/>
      <c r="FZ13" s="105"/>
      <c r="GA13" s="105"/>
      <c r="GB13" s="105"/>
      <c r="GC13" s="105"/>
      <c r="GD13" s="105"/>
      <c r="GE13" s="105"/>
      <c r="GF13" s="105"/>
      <c r="GG13" s="105"/>
      <c r="GH13" s="105"/>
      <c r="GI13" s="105"/>
      <c r="GJ13" s="105"/>
      <c r="GK13" s="105"/>
      <c r="GL13" s="105"/>
      <c r="GM13" s="105"/>
      <c r="GN13" s="105"/>
      <c r="GO13" s="105"/>
      <c r="GP13" s="105"/>
      <c r="GQ13" s="105"/>
      <c r="GR13" s="105"/>
      <c r="GS13" s="105"/>
      <c r="GT13" s="105"/>
      <c r="GU13" s="105"/>
      <c r="GV13" s="105"/>
      <c r="GW13" s="105"/>
      <c r="GX13" s="105"/>
      <c r="GY13" s="105"/>
      <c r="GZ13" s="105"/>
      <c r="HA13" s="105"/>
      <c r="HB13" s="105"/>
      <c r="HC13" s="105"/>
      <c r="HD13" s="105"/>
      <c r="HE13" s="105"/>
      <c r="HF13" s="105"/>
      <c r="HG13" s="105"/>
      <c r="HH13" s="105"/>
      <c r="HI13" s="105"/>
      <c r="HJ13" s="105"/>
      <c r="HK13" s="105"/>
      <c r="HL13" s="105"/>
      <c r="HM13" s="105"/>
      <c r="HN13" s="105"/>
      <c r="HO13" s="105"/>
      <c r="HP13" s="105"/>
      <c r="HQ13" s="105"/>
      <c r="HR13" s="105"/>
      <c r="HS13" s="105"/>
      <c r="HT13" s="105"/>
      <c r="HU13" s="105"/>
      <c r="HV13" s="105"/>
      <c r="HW13" s="105"/>
      <c r="HX13" s="105"/>
      <c r="HY13" s="105"/>
      <c r="HZ13" s="105"/>
      <c r="IA13" s="105"/>
      <c r="IB13" s="105"/>
      <c r="IC13" s="105"/>
      <c r="ID13" s="105"/>
      <c r="IE13" s="105"/>
      <c r="IF13" s="105"/>
      <c r="IG13" s="105"/>
      <c r="IH13" s="105"/>
      <c r="II13" s="105"/>
      <c r="IJ13" s="105"/>
      <c r="IK13" s="105"/>
      <c r="IL13" s="105"/>
      <c r="IM13" s="105"/>
      <c r="IN13" s="105"/>
      <c r="IO13" s="105"/>
      <c r="IP13" s="105"/>
      <c r="IQ13" s="105"/>
      <c r="IR13" s="105"/>
      <c r="IS13" s="105"/>
      <c r="IT13" s="105"/>
      <c r="IU13" s="105"/>
      <c r="IV13" s="105"/>
      <c r="IW13" s="105"/>
      <c r="IX13" s="105"/>
      <c r="IY13" s="105"/>
      <c r="IZ13" s="105"/>
      <c r="JA13" s="105"/>
      <c r="JB13" s="105"/>
      <c r="JC13" s="105"/>
      <c r="JD13" s="105"/>
      <c r="JE13" s="105"/>
      <c r="JF13" s="105"/>
      <c r="JG13" s="105"/>
      <c r="JH13" s="105"/>
      <c r="JI13" s="105"/>
      <c r="JJ13" s="105"/>
      <c r="JK13" s="105"/>
      <c r="JL13" s="105"/>
      <c r="JM13" s="105"/>
      <c r="JN13" s="105"/>
      <c r="JO13" s="105"/>
      <c r="JP13" s="105"/>
      <c r="JQ13" s="105"/>
      <c r="JR13" s="105"/>
      <c r="JS13" s="105"/>
      <c r="JT13" s="105"/>
      <c r="JU13" s="105"/>
      <c r="JV13" s="105"/>
      <c r="JW13" s="105"/>
      <c r="JX13" s="105"/>
      <c r="JY13" s="105"/>
      <c r="JZ13" s="105"/>
      <c r="KA13" s="105"/>
      <c r="KB13" s="105"/>
      <c r="KC13" s="105"/>
      <c r="KD13" s="105"/>
      <c r="KE13" s="105"/>
      <c r="KF13" s="105"/>
      <c r="KG13" s="105"/>
      <c r="KH13" s="105"/>
      <c r="KI13" s="105"/>
      <c r="KJ13" s="105"/>
      <c r="KK13" s="105"/>
      <c r="KL13" s="105"/>
      <c r="KM13" s="105"/>
      <c r="KN13" s="105"/>
      <c r="KO13" s="105"/>
      <c r="KP13" s="105"/>
      <c r="KQ13" s="105"/>
      <c r="KR13" s="105"/>
      <c r="KS13" s="105"/>
      <c r="KT13" s="105"/>
      <c r="KU13" s="105"/>
      <c r="KV13" s="105"/>
      <c r="KW13" s="105"/>
      <c r="KX13" s="105"/>
      <c r="KY13" s="105"/>
      <c r="KZ13" s="105"/>
      <c r="LA13" s="105"/>
      <c r="LB13" s="105"/>
      <c r="LC13" s="105"/>
      <c r="LD13" s="105"/>
      <c r="LE13" s="105"/>
      <c r="LF13" s="105"/>
      <c r="LG13" s="105"/>
      <c r="LH13" s="105"/>
      <c r="LI13" s="105"/>
      <c r="LJ13" s="105"/>
      <c r="LK13" s="105"/>
      <c r="LL13" s="105"/>
      <c r="LM13" s="105"/>
      <c r="LN13" s="105"/>
      <c r="LO13" s="105"/>
      <c r="LP13" s="105"/>
      <c r="LQ13" s="105"/>
      <c r="LR13" s="105"/>
      <c r="LS13" s="105"/>
      <c r="LT13" s="105"/>
      <c r="LU13" s="105"/>
      <c r="LV13" s="105"/>
      <c r="LW13" s="105"/>
      <c r="LX13" s="105"/>
      <c r="LY13" s="105"/>
      <c r="LZ13" s="105"/>
      <c r="MA13" s="105"/>
      <c r="MB13" s="105"/>
      <c r="MC13" s="105"/>
      <c r="MD13" s="105"/>
      <c r="ME13" s="105"/>
      <c r="MF13" s="105"/>
      <c r="MG13" s="105"/>
      <c r="MH13" s="105"/>
      <c r="MI13" s="105"/>
      <c r="MJ13" s="105"/>
      <c r="MK13" s="105"/>
      <c r="ML13" s="105"/>
      <c r="MM13" s="105"/>
      <c r="MN13" s="105"/>
      <c r="MO13" s="105"/>
      <c r="MP13" s="105"/>
      <c r="MQ13" s="105"/>
      <c r="MR13" s="105"/>
      <c r="MS13" s="105"/>
      <c r="MT13" s="105"/>
      <c r="MU13" s="105"/>
      <c r="MV13" s="105"/>
      <c r="MW13" s="105"/>
      <c r="MX13" s="105"/>
      <c r="MY13" s="105"/>
      <c r="MZ13" s="105"/>
      <c r="NA13" s="105"/>
      <c r="NB13" s="105"/>
      <c r="NC13" s="105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  <c r="NS13" s="105"/>
      <c r="NT13" s="105"/>
      <c r="NU13" s="105"/>
      <c r="NV13" s="105"/>
      <c r="NW13" s="105"/>
      <c r="NX13" s="105"/>
      <c r="NY13" s="105"/>
      <c r="NZ13" s="105"/>
      <c r="OA13" s="105"/>
      <c r="OB13" s="105"/>
      <c r="OC13" s="105"/>
      <c r="OD13" s="105"/>
      <c r="OE13" s="105"/>
      <c r="OF13" s="105"/>
      <c r="OG13" s="105"/>
      <c r="OH13" s="105"/>
      <c r="OI13" s="105"/>
      <c r="OJ13" s="105"/>
      <c r="OK13" s="105"/>
      <c r="OL13" s="105"/>
      <c r="OM13" s="105"/>
      <c r="ON13" s="105"/>
      <c r="OO13" s="105"/>
      <c r="OP13" s="105"/>
      <c r="OQ13" s="105"/>
      <c r="OR13" s="105"/>
      <c r="OS13" s="105"/>
      <c r="OT13" s="105"/>
      <c r="OU13" s="105"/>
      <c r="OV13" s="105"/>
      <c r="OW13" s="105"/>
      <c r="OX13" s="105"/>
      <c r="OY13" s="105"/>
      <c r="OZ13" s="105"/>
      <c r="PA13" s="105"/>
      <c r="PB13" s="105"/>
      <c r="PC13" s="105"/>
      <c r="PD13" s="105"/>
      <c r="PE13" s="105"/>
      <c r="PF13" s="105"/>
      <c r="PG13" s="105"/>
      <c r="PH13" s="105"/>
      <c r="PI13" s="105"/>
      <c r="PJ13" s="105"/>
      <c r="PK13" s="105"/>
      <c r="PL13" s="105"/>
      <c r="PM13" s="105"/>
      <c r="PN13" s="105"/>
      <c r="PO13" s="105"/>
      <c r="PP13" s="105"/>
      <c r="PQ13" s="105"/>
      <c r="PR13" s="105"/>
      <c r="PS13" s="105"/>
      <c r="PT13" s="105"/>
      <c r="PU13" s="105"/>
      <c r="PV13" s="105"/>
      <c r="PW13" s="105"/>
      <c r="PX13" s="105"/>
      <c r="PY13" s="105"/>
      <c r="PZ13" s="105"/>
      <c r="QA13" s="105"/>
      <c r="QB13" s="105"/>
      <c r="QC13" s="105"/>
      <c r="QD13" s="105"/>
      <c r="QE13" s="105"/>
      <c r="QF13" s="105"/>
      <c r="QG13" s="105"/>
      <c r="QH13" s="105"/>
      <c r="QI13" s="105"/>
      <c r="QJ13" s="105"/>
      <c r="QK13" s="105"/>
      <c r="QL13" s="105"/>
      <c r="QM13" s="105"/>
      <c r="QN13" s="105"/>
      <c r="QO13" s="105"/>
      <c r="QP13" s="105"/>
      <c r="QQ13" s="105"/>
      <c r="QR13" s="105"/>
      <c r="QS13" s="105"/>
      <c r="QT13" s="105"/>
      <c r="QU13" s="105"/>
      <c r="QV13" s="105"/>
      <c r="QW13" s="105"/>
      <c r="QX13" s="105"/>
      <c r="QY13" s="105"/>
      <c r="QZ13" s="105"/>
      <c r="RA13" s="105"/>
      <c r="RB13" s="105"/>
      <c r="RC13" s="105"/>
      <c r="RD13" s="105"/>
      <c r="RE13" s="105"/>
      <c r="RF13" s="105"/>
      <c r="RG13" s="105"/>
      <c r="RH13" s="105"/>
      <c r="RI13" s="105"/>
      <c r="RJ13" s="105"/>
    </row>
    <row r="14" spans="1:478" s="106" customFormat="1" ht="27" customHeight="1" x14ac:dyDescent="0.25">
      <c r="A14" s="101" t="s">
        <v>25</v>
      </c>
      <c r="B14" s="102" t="s">
        <v>98</v>
      </c>
      <c r="C14" s="103">
        <f>Main_œuvre[[#Totals],[Coût global salarial]]</f>
        <v>27648000</v>
      </c>
      <c r="D14" s="103">
        <f>SUM(Main_œuvre[[#Totals],[J01]:[J24]])</f>
        <v>0</v>
      </c>
      <c r="E14" s="103">
        <f>+Tableau15[[#This Row],[MONTANT ]]-Tableau15[[#This Row],[REALISATIONS]]</f>
        <v>27648000</v>
      </c>
      <c r="F14" s="104" t="str">
        <f>IF(+Tableau15[[#This Row],[REALISATIONS]]=0,"-",Tableau15[[#This Row],[REALISATIONS]]/Tableau15[[#This Row],[MONTANT ]])</f>
        <v>-</v>
      </c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105"/>
      <c r="IG14" s="105"/>
      <c r="IH14" s="105"/>
      <c r="II14" s="105"/>
      <c r="IJ14" s="105"/>
      <c r="IK14" s="105"/>
      <c r="IL14" s="105"/>
      <c r="IM14" s="105"/>
      <c r="IN14" s="105"/>
      <c r="IO14" s="105"/>
      <c r="IP14" s="105"/>
      <c r="IQ14" s="105"/>
      <c r="IR14" s="105"/>
      <c r="IS14" s="105"/>
      <c r="IT14" s="105"/>
      <c r="IU14" s="105"/>
      <c r="IV14" s="105"/>
      <c r="IW14" s="105"/>
      <c r="IX14" s="105"/>
      <c r="IY14" s="105"/>
      <c r="IZ14" s="105"/>
      <c r="JA14" s="105"/>
      <c r="JB14" s="105"/>
      <c r="JC14" s="105"/>
      <c r="JD14" s="105"/>
      <c r="JE14" s="105"/>
      <c r="JF14" s="105"/>
      <c r="JG14" s="105"/>
      <c r="JH14" s="105"/>
      <c r="JI14" s="105"/>
      <c r="JJ14" s="105"/>
      <c r="JK14" s="105"/>
      <c r="JL14" s="105"/>
      <c r="JM14" s="105"/>
      <c r="JN14" s="105"/>
      <c r="JO14" s="105"/>
      <c r="JP14" s="105"/>
      <c r="JQ14" s="105"/>
      <c r="JR14" s="105"/>
      <c r="JS14" s="105"/>
      <c r="JT14" s="105"/>
      <c r="JU14" s="105"/>
      <c r="JV14" s="105"/>
      <c r="JW14" s="105"/>
      <c r="JX14" s="105"/>
      <c r="JY14" s="105"/>
      <c r="JZ14" s="105"/>
      <c r="KA14" s="105"/>
      <c r="KB14" s="105"/>
      <c r="KC14" s="105"/>
      <c r="KD14" s="105"/>
      <c r="KE14" s="105"/>
      <c r="KF14" s="105"/>
      <c r="KG14" s="105"/>
      <c r="KH14" s="105"/>
      <c r="KI14" s="105"/>
      <c r="KJ14" s="105"/>
      <c r="KK14" s="105"/>
      <c r="KL14" s="105"/>
      <c r="KM14" s="105"/>
      <c r="KN14" s="105"/>
      <c r="KO14" s="105"/>
      <c r="KP14" s="105"/>
      <c r="KQ14" s="105"/>
      <c r="KR14" s="105"/>
      <c r="KS14" s="105"/>
      <c r="KT14" s="105"/>
      <c r="KU14" s="105"/>
      <c r="KV14" s="105"/>
      <c r="KW14" s="105"/>
      <c r="KX14" s="105"/>
      <c r="KY14" s="105"/>
      <c r="KZ14" s="105"/>
      <c r="LA14" s="105"/>
      <c r="LB14" s="105"/>
      <c r="LC14" s="105"/>
      <c r="LD14" s="105"/>
      <c r="LE14" s="105"/>
      <c r="LF14" s="105"/>
      <c r="LG14" s="105"/>
      <c r="LH14" s="105"/>
      <c r="LI14" s="105"/>
      <c r="LJ14" s="105"/>
      <c r="LK14" s="105"/>
      <c r="LL14" s="105"/>
      <c r="LM14" s="105"/>
      <c r="LN14" s="105"/>
      <c r="LO14" s="105"/>
      <c r="LP14" s="105"/>
      <c r="LQ14" s="105"/>
      <c r="LR14" s="105"/>
      <c r="LS14" s="105"/>
      <c r="LT14" s="105"/>
      <c r="LU14" s="105"/>
      <c r="LV14" s="105"/>
      <c r="LW14" s="105"/>
      <c r="LX14" s="105"/>
      <c r="LY14" s="105"/>
      <c r="LZ14" s="105"/>
      <c r="MA14" s="105"/>
      <c r="MB14" s="105"/>
      <c r="MC14" s="105"/>
      <c r="MD14" s="105"/>
      <c r="ME14" s="105"/>
      <c r="MF14" s="105"/>
      <c r="MG14" s="105"/>
      <c r="MH14" s="105"/>
      <c r="MI14" s="105"/>
      <c r="MJ14" s="105"/>
      <c r="MK14" s="105"/>
      <c r="ML14" s="105"/>
      <c r="MM14" s="105"/>
      <c r="MN14" s="105"/>
      <c r="MO14" s="105"/>
      <c r="MP14" s="105"/>
      <c r="MQ14" s="105"/>
      <c r="MR14" s="105"/>
      <c r="MS14" s="105"/>
      <c r="MT14" s="105"/>
      <c r="MU14" s="105"/>
      <c r="MV14" s="105"/>
      <c r="MW14" s="105"/>
      <c r="MX14" s="105"/>
      <c r="MY14" s="105"/>
      <c r="MZ14" s="105"/>
      <c r="NA14" s="105"/>
      <c r="NB14" s="105"/>
      <c r="NC14" s="105"/>
      <c r="ND14" s="105"/>
      <c r="NE14" s="105"/>
      <c r="NF14" s="105"/>
      <c r="NG14" s="105"/>
      <c r="NH14" s="105"/>
      <c r="NI14" s="105"/>
      <c r="NJ14" s="105"/>
      <c r="NK14" s="105"/>
      <c r="NL14" s="105"/>
      <c r="NM14" s="105"/>
      <c r="NN14" s="105"/>
      <c r="NO14" s="105"/>
      <c r="NP14" s="105"/>
      <c r="NQ14" s="105"/>
      <c r="NR14" s="105"/>
      <c r="NS14" s="105"/>
      <c r="NT14" s="105"/>
      <c r="NU14" s="105"/>
      <c r="NV14" s="105"/>
      <c r="NW14" s="105"/>
      <c r="NX14" s="105"/>
      <c r="NY14" s="105"/>
      <c r="NZ14" s="105"/>
      <c r="OA14" s="105"/>
      <c r="OB14" s="105"/>
      <c r="OC14" s="105"/>
      <c r="OD14" s="105"/>
      <c r="OE14" s="105"/>
      <c r="OF14" s="105"/>
      <c r="OG14" s="105"/>
      <c r="OH14" s="105"/>
      <c r="OI14" s="105"/>
      <c r="OJ14" s="105"/>
      <c r="OK14" s="105"/>
      <c r="OL14" s="105"/>
      <c r="OM14" s="105"/>
      <c r="ON14" s="105"/>
      <c r="OO14" s="105"/>
      <c r="OP14" s="105"/>
      <c r="OQ14" s="105"/>
      <c r="OR14" s="105"/>
      <c r="OS14" s="105"/>
      <c r="OT14" s="105"/>
      <c r="OU14" s="105"/>
      <c r="OV14" s="105"/>
      <c r="OW14" s="105"/>
      <c r="OX14" s="105"/>
      <c r="OY14" s="105"/>
      <c r="OZ14" s="105"/>
      <c r="PA14" s="105"/>
      <c r="PB14" s="105"/>
      <c r="PC14" s="105"/>
      <c r="PD14" s="105"/>
      <c r="PE14" s="105"/>
      <c r="PF14" s="105"/>
      <c r="PG14" s="105"/>
      <c r="PH14" s="105"/>
      <c r="PI14" s="105"/>
      <c r="PJ14" s="105"/>
      <c r="PK14" s="105"/>
      <c r="PL14" s="105"/>
      <c r="PM14" s="105"/>
      <c r="PN14" s="105"/>
      <c r="PO14" s="105"/>
      <c r="PP14" s="105"/>
      <c r="PQ14" s="105"/>
      <c r="PR14" s="105"/>
      <c r="PS14" s="105"/>
      <c r="PT14" s="105"/>
      <c r="PU14" s="105"/>
      <c r="PV14" s="105"/>
      <c r="PW14" s="105"/>
      <c r="PX14" s="105"/>
      <c r="PY14" s="105"/>
      <c r="PZ14" s="105"/>
      <c r="QA14" s="105"/>
      <c r="QB14" s="105"/>
      <c r="QC14" s="105"/>
      <c r="QD14" s="105"/>
      <c r="QE14" s="105"/>
      <c r="QF14" s="105"/>
      <c r="QG14" s="105"/>
      <c r="QH14" s="105"/>
      <c r="QI14" s="105"/>
      <c r="QJ14" s="105"/>
      <c r="QK14" s="105"/>
      <c r="QL14" s="105"/>
      <c r="QM14" s="105"/>
      <c r="QN14" s="105"/>
      <c r="QO14" s="105"/>
      <c r="QP14" s="105"/>
      <c r="QQ14" s="105"/>
      <c r="QR14" s="105"/>
      <c r="QS14" s="105"/>
      <c r="QT14" s="105"/>
      <c r="QU14" s="105"/>
      <c r="QV14" s="105"/>
      <c r="QW14" s="105"/>
      <c r="QX14" s="105"/>
      <c r="QY14" s="105"/>
      <c r="QZ14" s="105"/>
      <c r="RA14" s="105"/>
      <c r="RB14" s="105"/>
      <c r="RC14" s="105"/>
      <c r="RD14" s="105"/>
      <c r="RE14" s="105"/>
      <c r="RF14" s="105"/>
      <c r="RG14" s="105"/>
      <c r="RH14" s="105"/>
      <c r="RI14" s="105"/>
      <c r="RJ14" s="105"/>
    </row>
    <row r="15" spans="1:478" ht="27" customHeight="1" x14ac:dyDescent="0.25">
      <c r="A15" s="107" t="s">
        <v>142</v>
      </c>
      <c r="B15" s="108" t="s">
        <v>114</v>
      </c>
      <c r="C15" s="109">
        <f>SUBTOTAL(109,C9:C14)</f>
        <v>47476010</v>
      </c>
      <c r="D15" s="109">
        <f t="shared" ref="D15" ca="1" si="0">SUBTOTAL(109,D9:D14)</f>
        <v>0</v>
      </c>
      <c r="E15" s="109">
        <f ca="1">SUBTOTAL(109,E9:E14)</f>
        <v>47476010</v>
      </c>
      <c r="F15" s="110"/>
      <c r="H15" s="111"/>
    </row>
    <row r="16" spans="1:478" s="99" customFormat="1" ht="27" customHeight="1" x14ac:dyDescent="0.25">
      <c r="A16" s="112" t="s">
        <v>143</v>
      </c>
      <c r="B16" s="113" t="s">
        <v>209</v>
      </c>
      <c r="C16" s="114"/>
      <c r="D16" s="115"/>
      <c r="E16" s="116">
        <f>+Tableau15[[#This Row],[MONTANT ]]-Tableau15[[#This Row],[REALISATIONS]]</f>
        <v>0</v>
      </c>
      <c r="F16" s="117"/>
    </row>
    <row r="17" spans="1:10" s="99" customFormat="1" ht="27" customHeight="1" x14ac:dyDescent="0.25">
      <c r="A17" s="118" t="s">
        <v>144</v>
      </c>
      <c r="B17" s="119" t="s">
        <v>479</v>
      </c>
      <c r="C17" s="120">
        <f>+C15+C16</f>
        <v>47476010</v>
      </c>
      <c r="D17" s="120">
        <f ca="1">+D15-D16</f>
        <v>0</v>
      </c>
      <c r="E17" s="120">
        <f ca="1">+Tableau15[[#This Row],[MONTANT ]]-Tableau15[[#This Row],[REALISATIONS]]</f>
        <v>47476010</v>
      </c>
      <c r="F17" s="121"/>
    </row>
    <row r="18" spans="1:10" s="99" customFormat="1" ht="27" customHeight="1" x14ac:dyDescent="0.35">
      <c r="A18" s="122"/>
      <c r="B18" s="123"/>
      <c r="C18" s="194"/>
      <c r="D18" s="195"/>
      <c r="E18" s="116"/>
      <c r="F18" s="117"/>
    </row>
    <row r="19" spans="1:10" s="99" customFormat="1" ht="14.25" customHeight="1" x14ac:dyDescent="0.25">
      <c r="A19" s="124"/>
      <c r="B19" s="125"/>
      <c r="C19" s="126"/>
      <c r="D19" s="127"/>
      <c r="E19" s="128"/>
      <c r="F19" s="129"/>
      <c r="J19" s="99" t="s">
        <v>141</v>
      </c>
    </row>
    <row r="20" spans="1:10" s="99" customFormat="1" ht="25.5" customHeight="1" x14ac:dyDescent="0.25">
      <c r="A20" s="124"/>
      <c r="B20" s="60" t="s">
        <v>208</v>
      </c>
      <c r="C20" s="126"/>
      <c r="D20" s="60" t="s">
        <v>153</v>
      </c>
      <c r="E20" s="128"/>
      <c r="F20" s="129"/>
    </row>
    <row r="21" spans="1:10" s="99" customFormat="1" ht="34.15" customHeight="1" x14ac:dyDescent="0.25">
      <c r="A21" s="124"/>
      <c r="B21" s="125"/>
      <c r="C21" s="126"/>
      <c r="D21" s="127"/>
      <c r="E21" s="128"/>
      <c r="F21" s="129"/>
    </row>
    <row r="22" spans="1:10" s="99" customFormat="1" ht="34.15" customHeight="1" x14ac:dyDescent="0.25">
      <c r="A22" s="124"/>
      <c r="B22" s="125"/>
      <c r="C22" s="126"/>
      <c r="D22" s="127"/>
      <c r="E22" s="128"/>
      <c r="F22" s="129"/>
    </row>
    <row r="23" spans="1:10" s="99" customFormat="1" x14ac:dyDescent="0.25">
      <c r="A23" s="100"/>
      <c r="B23" s="100"/>
      <c r="C23" s="100"/>
      <c r="D23" s="130"/>
      <c r="E23" s="100"/>
      <c r="F23" s="100"/>
    </row>
    <row r="24" spans="1:10" s="99" customFormat="1" x14ac:dyDescent="0.25"/>
    <row r="25" spans="1:10" s="99" customFormat="1" x14ac:dyDescent="0.25"/>
    <row r="26" spans="1:10" s="99" customFormat="1" x14ac:dyDescent="0.25"/>
    <row r="27" spans="1:10" s="99" customFormat="1" x14ac:dyDescent="0.25"/>
    <row r="28" spans="1:10" s="99" customFormat="1" x14ac:dyDescent="0.25"/>
    <row r="29" spans="1:10" s="99" customFormat="1" x14ac:dyDescent="0.25"/>
    <row r="30" spans="1:10" s="99" customFormat="1" x14ac:dyDescent="0.25"/>
    <row r="31" spans="1:10" s="99" customFormat="1" x14ac:dyDescent="0.25"/>
    <row r="32" spans="1:10" s="99" customFormat="1" x14ac:dyDescent="0.25"/>
    <row r="33" s="99" customFormat="1" x14ac:dyDescent="0.25"/>
    <row r="34" s="99" customFormat="1" x14ac:dyDescent="0.25"/>
    <row r="35" s="99" customFormat="1" x14ac:dyDescent="0.25"/>
    <row r="36" s="99" customFormat="1" x14ac:dyDescent="0.25"/>
    <row r="37" s="99" customFormat="1" x14ac:dyDescent="0.25"/>
    <row r="38" s="99" customFormat="1" x14ac:dyDescent="0.25"/>
    <row r="39" s="99" customFormat="1" x14ac:dyDescent="0.25"/>
    <row r="40" s="99" customFormat="1" x14ac:dyDescent="0.25"/>
    <row r="41" s="99" customFormat="1" x14ac:dyDescent="0.25"/>
    <row r="42" s="99" customFormat="1" x14ac:dyDescent="0.25"/>
    <row r="43" s="99" customFormat="1" x14ac:dyDescent="0.25"/>
    <row r="44" s="99" customFormat="1" x14ac:dyDescent="0.25"/>
    <row r="45" s="99" customFormat="1" x14ac:dyDescent="0.25"/>
    <row r="46" s="99" customFormat="1" x14ac:dyDescent="0.25"/>
    <row r="47" s="99" customFormat="1" x14ac:dyDescent="0.25"/>
    <row r="48" s="99" customFormat="1" x14ac:dyDescent="0.25"/>
    <row r="49" s="99" customFormat="1" x14ac:dyDescent="0.25"/>
    <row r="50" s="99" customFormat="1" x14ac:dyDescent="0.25"/>
    <row r="51" s="99" customFormat="1" x14ac:dyDescent="0.25"/>
    <row r="52" s="99" customFormat="1" x14ac:dyDescent="0.25"/>
    <row r="53" s="99" customFormat="1" x14ac:dyDescent="0.25"/>
    <row r="54" s="99" customFormat="1" x14ac:dyDescent="0.25"/>
    <row r="55" s="99" customFormat="1" x14ac:dyDescent="0.25"/>
    <row r="56" s="99" customFormat="1" x14ac:dyDescent="0.25"/>
    <row r="57" s="99" customFormat="1" x14ac:dyDescent="0.25"/>
    <row r="58" s="99" customFormat="1" x14ac:dyDescent="0.25"/>
    <row r="59" s="99" customFormat="1" x14ac:dyDescent="0.25"/>
    <row r="60" s="99" customFormat="1" x14ac:dyDescent="0.25"/>
    <row r="61" s="99" customFormat="1" x14ac:dyDescent="0.25"/>
    <row r="62" s="99" customFormat="1" x14ac:dyDescent="0.25"/>
    <row r="63" s="99" customFormat="1" x14ac:dyDescent="0.25"/>
    <row r="64" s="99" customFormat="1" x14ac:dyDescent="0.25"/>
    <row r="65" s="99" customFormat="1" x14ac:dyDescent="0.25"/>
    <row r="66" s="99" customFormat="1" x14ac:dyDescent="0.25"/>
    <row r="67" s="99" customFormat="1" x14ac:dyDescent="0.25"/>
    <row r="68" s="99" customFormat="1" x14ac:dyDescent="0.25"/>
    <row r="69" s="99" customFormat="1" x14ac:dyDescent="0.25"/>
    <row r="70" s="99" customFormat="1" x14ac:dyDescent="0.25"/>
    <row r="71" s="99" customFormat="1" x14ac:dyDescent="0.25"/>
    <row r="72" s="99" customFormat="1" x14ac:dyDescent="0.25"/>
    <row r="73" s="99" customFormat="1" x14ac:dyDescent="0.25"/>
    <row r="74" s="99" customFormat="1" x14ac:dyDescent="0.25"/>
    <row r="75" s="99" customFormat="1" x14ac:dyDescent="0.25"/>
    <row r="76" s="99" customFormat="1" x14ac:dyDescent="0.25"/>
    <row r="77" s="99" customFormat="1" x14ac:dyDescent="0.25"/>
    <row r="78" s="99" customFormat="1" x14ac:dyDescent="0.25"/>
    <row r="79" s="99" customFormat="1" x14ac:dyDescent="0.25"/>
    <row r="80" s="99" customFormat="1" x14ac:dyDescent="0.25"/>
    <row r="81" s="99" customFormat="1" x14ac:dyDescent="0.25"/>
    <row r="82" s="99" customFormat="1" x14ac:dyDescent="0.25"/>
    <row r="83" s="99" customFormat="1" x14ac:dyDescent="0.25"/>
    <row r="84" s="99" customFormat="1" x14ac:dyDescent="0.25"/>
    <row r="85" s="99" customFormat="1" x14ac:dyDescent="0.25"/>
    <row r="86" s="99" customFormat="1" x14ac:dyDescent="0.25"/>
    <row r="87" s="99" customFormat="1" x14ac:dyDescent="0.25"/>
    <row r="88" s="99" customFormat="1" x14ac:dyDescent="0.25"/>
    <row r="89" s="99" customFormat="1" x14ac:dyDescent="0.25"/>
    <row r="90" s="99" customFormat="1" x14ac:dyDescent="0.25"/>
    <row r="91" s="99" customFormat="1" x14ac:dyDescent="0.25"/>
    <row r="92" s="99" customFormat="1" x14ac:dyDescent="0.25"/>
    <row r="93" s="99" customFormat="1" x14ac:dyDescent="0.25"/>
    <row r="94" s="99" customFormat="1" x14ac:dyDescent="0.25"/>
    <row r="95" s="99" customFormat="1" x14ac:dyDescent="0.25"/>
    <row r="96" s="99" customFormat="1" x14ac:dyDescent="0.25"/>
    <row r="97" s="99" customFormat="1" x14ac:dyDescent="0.25"/>
    <row r="98" s="99" customFormat="1" x14ac:dyDescent="0.25"/>
    <row r="99" s="99" customFormat="1" x14ac:dyDescent="0.25"/>
    <row r="100" s="99" customFormat="1" x14ac:dyDescent="0.25"/>
    <row r="101" s="99" customFormat="1" x14ac:dyDescent="0.25"/>
    <row r="102" s="99" customFormat="1" x14ac:dyDescent="0.25"/>
    <row r="103" s="99" customFormat="1" x14ac:dyDescent="0.25"/>
    <row r="104" s="99" customFormat="1" x14ac:dyDescent="0.25"/>
    <row r="105" s="99" customFormat="1" x14ac:dyDescent="0.25"/>
    <row r="106" s="99" customFormat="1" x14ac:dyDescent="0.25"/>
    <row r="107" s="99" customFormat="1" x14ac:dyDescent="0.25"/>
    <row r="108" s="99" customFormat="1" x14ac:dyDescent="0.25"/>
    <row r="109" s="99" customFormat="1" x14ac:dyDescent="0.25"/>
    <row r="110" s="99" customFormat="1" x14ac:dyDescent="0.25"/>
    <row r="111" s="99" customFormat="1" x14ac:dyDescent="0.25"/>
    <row r="112" s="99" customFormat="1" x14ac:dyDescent="0.25"/>
    <row r="113" s="99" customFormat="1" x14ac:dyDescent="0.25"/>
    <row r="114" s="99" customFormat="1" x14ac:dyDescent="0.25"/>
    <row r="115" s="99" customFormat="1" x14ac:dyDescent="0.25"/>
    <row r="116" s="99" customFormat="1" x14ac:dyDescent="0.25"/>
    <row r="117" s="99" customFormat="1" x14ac:dyDescent="0.25"/>
    <row r="118" s="99" customFormat="1" x14ac:dyDescent="0.25"/>
    <row r="119" s="99" customFormat="1" x14ac:dyDescent="0.25"/>
    <row r="120" s="99" customFormat="1" x14ac:dyDescent="0.25"/>
    <row r="121" s="99" customFormat="1" x14ac:dyDescent="0.25"/>
    <row r="122" s="99" customFormat="1" x14ac:dyDescent="0.25"/>
    <row r="123" s="99" customFormat="1" x14ac:dyDescent="0.25"/>
    <row r="124" s="99" customFormat="1" x14ac:dyDescent="0.25"/>
    <row r="125" s="99" customFormat="1" x14ac:dyDescent="0.25"/>
    <row r="126" s="99" customFormat="1" x14ac:dyDescent="0.25"/>
    <row r="127" s="99" customFormat="1" x14ac:dyDescent="0.25"/>
    <row r="128" s="99" customFormat="1" x14ac:dyDescent="0.25"/>
    <row r="129" s="99" customFormat="1" x14ac:dyDescent="0.25"/>
    <row r="130" s="99" customFormat="1" x14ac:dyDescent="0.25"/>
    <row r="131" s="99" customFormat="1" x14ac:dyDescent="0.25"/>
    <row r="132" s="99" customFormat="1" x14ac:dyDescent="0.25"/>
    <row r="133" s="99" customFormat="1" x14ac:dyDescent="0.25"/>
    <row r="134" s="99" customFormat="1" x14ac:dyDescent="0.25"/>
    <row r="135" s="99" customFormat="1" x14ac:dyDescent="0.25"/>
    <row r="136" s="99" customFormat="1" x14ac:dyDescent="0.25"/>
    <row r="137" s="99" customFormat="1" x14ac:dyDescent="0.25"/>
    <row r="138" s="99" customFormat="1" x14ac:dyDescent="0.25"/>
    <row r="139" s="99" customFormat="1" x14ac:dyDescent="0.25"/>
    <row r="140" s="99" customFormat="1" x14ac:dyDescent="0.25"/>
    <row r="141" s="99" customFormat="1" x14ac:dyDescent="0.25"/>
    <row r="142" s="99" customFormat="1" x14ac:dyDescent="0.25"/>
    <row r="143" s="99" customFormat="1" x14ac:dyDescent="0.25"/>
    <row r="144" s="99" customFormat="1" x14ac:dyDescent="0.25"/>
    <row r="145" s="99" customFormat="1" x14ac:dyDescent="0.25"/>
    <row r="146" s="99" customFormat="1" x14ac:dyDescent="0.25"/>
    <row r="147" s="99" customFormat="1" x14ac:dyDescent="0.25"/>
    <row r="148" s="99" customFormat="1" x14ac:dyDescent="0.25"/>
    <row r="149" s="99" customFormat="1" x14ac:dyDescent="0.25"/>
    <row r="150" s="99" customFormat="1" x14ac:dyDescent="0.25"/>
    <row r="151" s="99" customFormat="1" x14ac:dyDescent="0.25"/>
    <row r="152" s="99" customFormat="1" x14ac:dyDescent="0.25"/>
    <row r="153" s="99" customFormat="1" x14ac:dyDescent="0.25"/>
    <row r="154" s="99" customFormat="1" x14ac:dyDescent="0.25"/>
    <row r="155" s="99" customFormat="1" x14ac:dyDescent="0.25"/>
    <row r="156" s="99" customFormat="1" x14ac:dyDescent="0.25"/>
    <row r="157" s="99" customFormat="1" x14ac:dyDescent="0.25"/>
    <row r="158" s="99" customFormat="1" x14ac:dyDescent="0.25"/>
    <row r="159" s="99" customFormat="1" x14ac:dyDescent="0.25"/>
    <row r="160" s="99" customFormat="1" x14ac:dyDescent="0.25"/>
    <row r="161" s="99" customFormat="1" x14ac:dyDescent="0.25"/>
    <row r="162" s="99" customFormat="1" x14ac:dyDescent="0.25"/>
    <row r="163" s="99" customFormat="1" x14ac:dyDescent="0.25"/>
    <row r="164" s="99" customFormat="1" x14ac:dyDescent="0.25"/>
    <row r="165" s="99" customFormat="1" x14ac:dyDescent="0.25"/>
    <row r="166" s="99" customFormat="1" x14ac:dyDescent="0.25"/>
    <row r="167" s="99" customFormat="1" x14ac:dyDescent="0.25"/>
    <row r="168" s="99" customFormat="1" x14ac:dyDescent="0.25"/>
    <row r="169" s="99" customFormat="1" x14ac:dyDescent="0.25"/>
    <row r="170" s="99" customFormat="1" x14ac:dyDescent="0.25"/>
    <row r="171" s="99" customFormat="1" x14ac:dyDescent="0.25"/>
    <row r="172" s="99" customFormat="1" x14ac:dyDescent="0.25"/>
    <row r="173" s="99" customFormat="1" x14ac:dyDescent="0.25"/>
    <row r="174" s="99" customFormat="1" x14ac:dyDescent="0.25"/>
    <row r="175" s="99" customFormat="1" x14ac:dyDescent="0.25"/>
    <row r="176" s="99" customFormat="1" x14ac:dyDescent="0.25"/>
    <row r="177" s="99" customFormat="1" x14ac:dyDescent="0.25"/>
    <row r="178" s="99" customFormat="1" x14ac:dyDescent="0.25"/>
    <row r="179" s="99" customFormat="1" x14ac:dyDescent="0.25"/>
    <row r="180" s="99" customFormat="1" x14ac:dyDescent="0.25"/>
    <row r="181" s="99" customFormat="1" x14ac:dyDescent="0.25"/>
    <row r="182" s="99" customFormat="1" x14ac:dyDescent="0.25"/>
    <row r="183" s="99" customFormat="1" x14ac:dyDescent="0.25"/>
    <row r="184" s="99" customFormat="1" x14ac:dyDescent="0.25"/>
    <row r="185" s="99" customFormat="1" x14ac:dyDescent="0.25"/>
    <row r="186" s="99" customFormat="1" x14ac:dyDescent="0.25"/>
    <row r="187" s="99" customFormat="1" x14ac:dyDescent="0.25"/>
    <row r="188" s="99" customFormat="1" x14ac:dyDescent="0.25"/>
    <row r="189" s="99" customFormat="1" x14ac:dyDescent="0.25"/>
    <row r="190" s="99" customFormat="1" x14ac:dyDescent="0.25"/>
    <row r="191" s="99" customFormat="1" x14ac:dyDescent="0.25"/>
    <row r="192" s="99" customFormat="1" x14ac:dyDescent="0.25"/>
    <row r="193" s="99" customFormat="1" x14ac:dyDescent="0.25"/>
    <row r="194" s="99" customFormat="1" x14ac:dyDescent="0.25"/>
    <row r="195" s="99" customFormat="1" x14ac:dyDescent="0.25"/>
    <row r="196" s="99" customFormat="1" x14ac:dyDescent="0.25"/>
    <row r="197" s="99" customFormat="1" x14ac:dyDescent="0.25"/>
    <row r="198" s="99" customFormat="1" x14ac:dyDescent="0.25"/>
    <row r="199" s="99" customFormat="1" x14ac:dyDescent="0.25"/>
    <row r="200" s="99" customFormat="1" x14ac:dyDescent="0.25"/>
    <row r="201" s="99" customFormat="1" x14ac:dyDescent="0.25"/>
    <row r="202" s="99" customFormat="1" x14ac:dyDescent="0.25"/>
    <row r="203" s="99" customFormat="1" x14ac:dyDescent="0.25"/>
    <row r="204" s="99" customFormat="1" x14ac:dyDescent="0.25"/>
    <row r="205" s="99" customFormat="1" x14ac:dyDescent="0.25"/>
    <row r="206" s="99" customFormat="1" x14ac:dyDescent="0.25"/>
    <row r="207" s="99" customFormat="1" x14ac:dyDescent="0.25"/>
    <row r="208" s="99" customFormat="1" x14ac:dyDescent="0.25"/>
    <row r="209" s="99" customFormat="1" x14ac:dyDescent="0.25"/>
    <row r="210" s="99" customFormat="1" x14ac:dyDescent="0.25"/>
    <row r="211" s="99" customFormat="1" x14ac:dyDescent="0.25"/>
    <row r="212" s="99" customFormat="1" x14ac:dyDescent="0.25"/>
    <row r="213" s="99" customFormat="1" x14ac:dyDescent="0.25"/>
    <row r="214" s="99" customFormat="1" x14ac:dyDescent="0.25"/>
    <row r="215" s="99" customFormat="1" x14ac:dyDescent="0.25"/>
    <row r="216" s="99" customFormat="1" x14ac:dyDescent="0.25"/>
    <row r="217" s="99" customFormat="1" x14ac:dyDescent="0.25"/>
    <row r="218" s="99" customFormat="1" x14ac:dyDescent="0.25"/>
    <row r="219" s="99" customFormat="1" x14ac:dyDescent="0.25"/>
    <row r="220" s="99" customFormat="1" x14ac:dyDescent="0.25"/>
    <row r="221" s="99" customFormat="1" x14ac:dyDescent="0.25"/>
    <row r="222" s="99" customFormat="1" x14ac:dyDescent="0.25"/>
    <row r="223" s="99" customFormat="1" x14ac:dyDescent="0.25"/>
    <row r="224" s="99" customFormat="1" x14ac:dyDescent="0.25"/>
    <row r="225" s="99" customFormat="1" x14ac:dyDescent="0.25"/>
    <row r="226" s="99" customFormat="1" x14ac:dyDescent="0.25"/>
    <row r="227" s="99" customFormat="1" x14ac:dyDescent="0.25"/>
    <row r="228" s="99" customFormat="1" x14ac:dyDescent="0.25"/>
    <row r="229" s="99" customFormat="1" x14ac:dyDescent="0.25"/>
    <row r="230" s="99" customFormat="1" x14ac:dyDescent="0.25"/>
    <row r="231" s="99" customFormat="1" x14ac:dyDescent="0.25"/>
    <row r="232" s="99" customFormat="1" x14ac:dyDescent="0.25"/>
    <row r="233" s="99" customFormat="1" x14ac:dyDescent="0.25"/>
    <row r="234" s="99" customFormat="1" x14ac:dyDescent="0.25"/>
    <row r="235" s="99" customFormat="1" x14ac:dyDescent="0.25"/>
    <row r="236" s="99" customFormat="1" x14ac:dyDescent="0.25"/>
    <row r="237" s="99" customFormat="1" x14ac:dyDescent="0.25"/>
    <row r="238" s="99" customFormat="1" x14ac:dyDescent="0.25"/>
    <row r="239" s="99" customFormat="1" x14ac:dyDescent="0.25"/>
    <row r="240" s="99" customFormat="1" x14ac:dyDescent="0.25"/>
    <row r="241" s="99" customFormat="1" x14ac:dyDescent="0.25"/>
    <row r="242" s="99" customFormat="1" x14ac:dyDescent="0.25"/>
    <row r="243" s="99" customFormat="1" x14ac:dyDescent="0.25"/>
    <row r="244" s="99" customFormat="1" x14ac:dyDescent="0.25"/>
    <row r="245" s="99" customFormat="1" x14ac:dyDescent="0.25"/>
    <row r="246" s="99" customFormat="1" x14ac:dyDescent="0.25"/>
    <row r="247" s="99" customFormat="1" x14ac:dyDescent="0.25"/>
    <row r="248" s="99" customFormat="1" x14ac:dyDescent="0.25"/>
    <row r="249" s="99" customFormat="1" x14ac:dyDescent="0.25"/>
    <row r="250" s="99" customFormat="1" x14ac:dyDescent="0.25"/>
    <row r="251" s="99" customFormat="1" x14ac:dyDescent="0.25"/>
    <row r="252" s="99" customFormat="1" x14ac:dyDescent="0.25"/>
    <row r="253" s="99" customFormat="1" x14ac:dyDescent="0.25"/>
    <row r="254" s="99" customFormat="1" x14ac:dyDescent="0.25"/>
    <row r="255" s="99" customFormat="1" x14ac:dyDescent="0.25"/>
    <row r="256" s="99" customFormat="1" x14ac:dyDescent="0.25"/>
    <row r="257" s="99" customFormat="1" x14ac:dyDescent="0.25"/>
    <row r="258" s="99" customFormat="1" x14ac:dyDescent="0.25"/>
    <row r="259" s="99" customFormat="1" x14ac:dyDescent="0.25"/>
    <row r="260" s="99" customFormat="1" x14ac:dyDescent="0.25"/>
    <row r="261" s="99" customFormat="1" x14ac:dyDescent="0.25"/>
    <row r="262" s="99" customFormat="1" x14ac:dyDescent="0.25"/>
    <row r="263" s="99" customFormat="1" x14ac:dyDescent="0.25"/>
    <row r="264" s="99" customFormat="1" x14ac:dyDescent="0.25"/>
    <row r="265" s="99" customFormat="1" x14ac:dyDescent="0.25"/>
    <row r="266" s="99" customFormat="1" x14ac:dyDescent="0.25"/>
    <row r="267" s="99" customFormat="1" x14ac:dyDescent="0.25"/>
    <row r="268" s="99" customFormat="1" x14ac:dyDescent="0.25"/>
    <row r="269" s="99" customFormat="1" x14ac:dyDescent="0.25"/>
    <row r="270" s="99" customFormat="1" x14ac:dyDescent="0.25"/>
    <row r="271" s="99" customFormat="1" x14ac:dyDescent="0.25"/>
    <row r="272" s="99" customFormat="1" x14ac:dyDescent="0.25"/>
    <row r="273" s="99" customFormat="1" x14ac:dyDescent="0.25"/>
    <row r="274" s="99" customFormat="1" x14ac:dyDescent="0.25"/>
    <row r="275" s="99" customFormat="1" x14ac:dyDescent="0.25"/>
    <row r="276" s="99" customFormat="1" x14ac:dyDescent="0.25"/>
    <row r="277" s="99" customFormat="1" x14ac:dyDescent="0.25"/>
    <row r="278" s="99" customFormat="1" x14ac:dyDescent="0.25"/>
    <row r="279" s="99" customFormat="1" x14ac:dyDescent="0.25"/>
    <row r="280" s="99" customFormat="1" x14ac:dyDescent="0.25"/>
    <row r="281" s="99" customFormat="1" x14ac:dyDescent="0.25"/>
    <row r="282" s="99" customFormat="1" x14ac:dyDescent="0.25"/>
    <row r="283" s="99" customFormat="1" x14ac:dyDescent="0.25"/>
    <row r="284" s="99" customFormat="1" x14ac:dyDescent="0.25"/>
    <row r="285" s="99" customFormat="1" x14ac:dyDescent="0.25"/>
    <row r="286" s="99" customFormat="1" x14ac:dyDescent="0.25"/>
    <row r="287" s="99" customFormat="1" x14ac:dyDescent="0.25"/>
    <row r="288" s="99" customFormat="1" x14ac:dyDescent="0.25"/>
    <row r="289" s="99" customFormat="1" x14ac:dyDescent="0.25"/>
    <row r="290" s="99" customFormat="1" x14ac:dyDescent="0.25"/>
    <row r="291" s="99" customFormat="1" x14ac:dyDescent="0.25"/>
    <row r="292" s="99" customFormat="1" x14ac:dyDescent="0.25"/>
    <row r="293" s="99" customFormat="1" x14ac:dyDescent="0.25"/>
    <row r="294" s="99" customFormat="1" x14ac:dyDescent="0.25"/>
    <row r="295" s="99" customFormat="1" x14ac:dyDescent="0.25"/>
    <row r="296" s="99" customFormat="1" x14ac:dyDescent="0.25"/>
    <row r="297" s="99" customFormat="1" x14ac:dyDescent="0.25"/>
    <row r="298" s="99" customFormat="1" x14ac:dyDescent="0.25"/>
    <row r="299" s="99" customFormat="1" x14ac:dyDescent="0.25"/>
    <row r="300" s="99" customFormat="1" x14ac:dyDescent="0.25"/>
    <row r="301" s="99" customFormat="1" x14ac:dyDescent="0.25"/>
    <row r="302" s="99" customFormat="1" x14ac:dyDescent="0.25"/>
    <row r="303" s="99" customFormat="1" x14ac:dyDescent="0.25"/>
    <row r="304" s="99" customFormat="1" x14ac:dyDescent="0.25"/>
    <row r="305" s="99" customFormat="1" x14ac:dyDescent="0.25"/>
    <row r="306" s="99" customFormat="1" x14ac:dyDescent="0.25"/>
    <row r="307" s="99" customFormat="1" x14ac:dyDescent="0.25"/>
    <row r="308" s="99" customFormat="1" x14ac:dyDescent="0.25"/>
    <row r="309" s="99" customFormat="1" x14ac:dyDescent="0.25"/>
    <row r="310" s="99" customFormat="1" x14ac:dyDescent="0.25"/>
    <row r="311" s="99" customFormat="1" x14ac:dyDescent="0.25"/>
    <row r="312" s="99" customFormat="1" x14ac:dyDescent="0.25"/>
    <row r="313" s="99" customFormat="1" x14ac:dyDescent="0.25"/>
    <row r="314" s="99" customFormat="1" x14ac:dyDescent="0.25"/>
    <row r="315" s="99" customFormat="1" x14ac:dyDescent="0.25"/>
    <row r="316" s="99" customFormat="1" x14ac:dyDescent="0.25"/>
    <row r="317" s="99" customFormat="1" x14ac:dyDescent="0.25"/>
    <row r="318" s="99" customFormat="1" x14ac:dyDescent="0.25"/>
    <row r="319" s="99" customFormat="1" x14ac:dyDescent="0.25"/>
    <row r="320" s="99" customFormat="1" x14ac:dyDescent="0.25"/>
    <row r="321" s="99" customFormat="1" x14ac:dyDescent="0.25"/>
    <row r="322" s="99" customFormat="1" x14ac:dyDescent="0.25"/>
    <row r="323" s="99" customFormat="1" x14ac:dyDescent="0.25"/>
    <row r="324" s="99" customFormat="1" x14ac:dyDescent="0.25"/>
    <row r="325" s="99" customFormat="1" x14ac:dyDescent="0.25"/>
    <row r="326" s="99" customFormat="1" x14ac:dyDescent="0.25"/>
    <row r="327" s="99" customFormat="1" x14ac:dyDescent="0.25"/>
    <row r="328" s="99" customFormat="1" x14ac:dyDescent="0.25"/>
    <row r="329" s="99" customFormat="1" x14ac:dyDescent="0.25"/>
    <row r="330" s="99" customFormat="1" x14ac:dyDescent="0.25"/>
    <row r="331" s="99" customFormat="1" x14ac:dyDescent="0.25"/>
    <row r="332" s="99" customFormat="1" x14ac:dyDescent="0.25"/>
    <row r="333" s="99" customFormat="1" x14ac:dyDescent="0.25"/>
    <row r="334" s="99" customFormat="1" x14ac:dyDescent="0.25"/>
    <row r="335" s="99" customFormat="1" x14ac:dyDescent="0.25"/>
    <row r="336" s="99" customFormat="1" x14ac:dyDescent="0.25"/>
    <row r="337" s="99" customFormat="1" x14ac:dyDescent="0.25"/>
    <row r="338" s="99" customFormat="1" x14ac:dyDescent="0.25"/>
    <row r="339" s="99" customFormat="1" x14ac:dyDescent="0.25"/>
    <row r="340" s="99" customFormat="1" x14ac:dyDescent="0.25"/>
    <row r="341" s="99" customFormat="1" x14ac:dyDescent="0.25"/>
    <row r="342" s="99" customFormat="1" x14ac:dyDescent="0.25"/>
    <row r="343" s="99" customFormat="1" x14ac:dyDescent="0.25"/>
    <row r="344" s="99" customFormat="1" x14ac:dyDescent="0.25"/>
    <row r="345" s="99" customFormat="1" x14ac:dyDescent="0.25"/>
    <row r="346" s="99" customFormat="1" x14ac:dyDescent="0.25"/>
    <row r="347" s="99" customFormat="1" x14ac:dyDescent="0.25"/>
    <row r="348" s="99" customFormat="1" x14ac:dyDescent="0.25"/>
    <row r="349" s="99" customFormat="1" x14ac:dyDescent="0.25"/>
    <row r="350" s="99" customFormat="1" x14ac:dyDescent="0.25"/>
    <row r="351" s="99" customFormat="1" x14ac:dyDescent="0.25"/>
    <row r="352" s="99" customFormat="1" x14ac:dyDescent="0.25"/>
    <row r="353" s="99" customFormat="1" x14ac:dyDescent="0.25"/>
    <row r="354" s="99" customFormat="1" x14ac:dyDescent="0.25"/>
    <row r="355" s="99" customFormat="1" x14ac:dyDescent="0.25"/>
    <row r="356" s="99" customFormat="1" x14ac:dyDescent="0.25"/>
    <row r="357" s="99" customFormat="1" x14ac:dyDescent="0.25"/>
    <row r="358" s="99" customFormat="1" x14ac:dyDescent="0.25"/>
    <row r="359" s="99" customFormat="1" x14ac:dyDescent="0.25"/>
    <row r="360" s="99" customFormat="1" x14ac:dyDescent="0.25"/>
    <row r="361" s="99" customFormat="1" x14ac:dyDescent="0.25"/>
    <row r="362" s="99" customFormat="1" x14ac:dyDescent="0.25"/>
    <row r="363" s="99" customFormat="1" x14ac:dyDescent="0.25"/>
    <row r="364" s="99" customFormat="1" x14ac:dyDescent="0.25"/>
    <row r="365" s="99" customFormat="1" x14ac:dyDescent="0.25"/>
    <row r="366" s="99" customFormat="1" x14ac:dyDescent="0.25"/>
    <row r="367" s="99" customFormat="1" x14ac:dyDescent="0.25"/>
    <row r="368" s="99" customFormat="1" x14ac:dyDescent="0.25"/>
    <row r="369" s="99" customFormat="1" x14ac:dyDescent="0.25"/>
    <row r="370" s="99" customFormat="1" x14ac:dyDescent="0.25"/>
    <row r="371" s="99" customFormat="1" x14ac:dyDescent="0.25"/>
    <row r="372" s="99" customFormat="1" x14ac:dyDescent="0.25"/>
    <row r="373" s="99" customFormat="1" x14ac:dyDescent="0.25"/>
    <row r="374" s="99" customFormat="1" x14ac:dyDescent="0.25"/>
    <row r="375" s="99" customFormat="1" x14ac:dyDescent="0.25"/>
    <row r="376" s="99" customFormat="1" x14ac:dyDescent="0.25"/>
    <row r="377" s="99" customFormat="1" x14ac:dyDescent="0.25"/>
    <row r="378" s="99" customFormat="1" x14ac:dyDescent="0.25"/>
    <row r="379" s="99" customFormat="1" x14ac:dyDescent="0.25"/>
    <row r="380" s="99" customFormat="1" x14ac:dyDescent="0.25"/>
    <row r="381" s="99" customFormat="1" x14ac:dyDescent="0.25"/>
    <row r="382" s="99" customFormat="1" x14ac:dyDescent="0.25"/>
    <row r="383" s="99" customFormat="1" x14ac:dyDescent="0.25"/>
    <row r="384" s="99" customFormat="1" x14ac:dyDescent="0.25"/>
    <row r="385" s="99" customFormat="1" x14ac:dyDescent="0.25"/>
    <row r="386" s="99" customFormat="1" x14ac:dyDescent="0.25"/>
    <row r="387" s="99" customFormat="1" x14ac:dyDescent="0.25"/>
    <row r="388" s="99" customFormat="1" x14ac:dyDescent="0.25"/>
    <row r="389" s="99" customFormat="1" x14ac:dyDescent="0.25"/>
    <row r="390" s="99" customFormat="1" x14ac:dyDescent="0.25"/>
    <row r="391" s="99" customFormat="1" x14ac:dyDescent="0.25"/>
    <row r="392" s="99" customFormat="1" x14ac:dyDescent="0.25"/>
    <row r="393" s="99" customFormat="1" x14ac:dyDescent="0.25"/>
    <row r="394" s="99" customFormat="1" x14ac:dyDescent="0.25"/>
    <row r="395" s="99" customFormat="1" x14ac:dyDescent="0.25"/>
    <row r="396" s="99" customFormat="1" x14ac:dyDescent="0.25"/>
    <row r="397" s="99" customFormat="1" x14ac:dyDescent="0.25"/>
    <row r="398" s="99" customFormat="1" x14ac:dyDescent="0.25"/>
    <row r="399" s="99" customFormat="1" x14ac:dyDescent="0.25"/>
    <row r="400" s="99" customFormat="1" x14ac:dyDescent="0.25"/>
    <row r="401" s="99" customFormat="1" x14ac:dyDescent="0.25"/>
    <row r="402" s="99" customFormat="1" x14ac:dyDescent="0.25"/>
    <row r="403" s="99" customFormat="1" x14ac:dyDescent="0.25"/>
    <row r="404" s="99" customFormat="1" x14ac:dyDescent="0.25"/>
    <row r="405" s="99" customFormat="1" x14ac:dyDescent="0.25"/>
    <row r="406" s="99" customFormat="1" x14ac:dyDescent="0.25"/>
    <row r="407" s="99" customFormat="1" x14ac:dyDescent="0.25"/>
    <row r="408" s="99" customFormat="1" x14ac:dyDescent="0.25"/>
    <row r="409" s="99" customFormat="1" x14ac:dyDescent="0.25"/>
    <row r="410" s="99" customFormat="1" x14ac:dyDescent="0.25"/>
    <row r="411" s="99" customFormat="1" x14ac:dyDescent="0.25"/>
    <row r="412" s="99" customFormat="1" x14ac:dyDescent="0.25"/>
    <row r="413" s="99" customFormat="1" x14ac:dyDescent="0.25"/>
    <row r="414" s="99" customFormat="1" x14ac:dyDescent="0.25"/>
    <row r="415" s="99" customFormat="1" x14ac:dyDescent="0.25"/>
    <row r="416" s="99" customFormat="1" x14ac:dyDescent="0.25"/>
    <row r="417" s="99" customFormat="1" x14ac:dyDescent="0.25"/>
    <row r="418" s="99" customFormat="1" x14ac:dyDescent="0.25"/>
    <row r="419" s="99" customFormat="1" x14ac:dyDescent="0.25"/>
    <row r="420" s="99" customFormat="1" x14ac:dyDescent="0.25"/>
    <row r="421" s="99" customFormat="1" x14ac:dyDescent="0.25"/>
    <row r="422" s="99" customFormat="1" x14ac:dyDescent="0.25"/>
    <row r="423" s="99" customFormat="1" x14ac:dyDescent="0.25"/>
    <row r="424" s="99" customFormat="1" x14ac:dyDescent="0.25"/>
    <row r="425" s="99" customFormat="1" x14ac:dyDescent="0.25"/>
    <row r="426" s="99" customFormat="1" x14ac:dyDescent="0.25"/>
    <row r="427" s="99" customFormat="1" x14ac:dyDescent="0.25"/>
    <row r="428" s="99" customFormat="1" x14ac:dyDescent="0.25"/>
    <row r="429" s="99" customFormat="1" x14ac:dyDescent="0.25"/>
    <row r="430" s="99" customFormat="1" x14ac:dyDescent="0.25"/>
    <row r="431" s="99" customFormat="1" x14ac:dyDescent="0.25"/>
    <row r="432" s="99" customFormat="1" x14ac:dyDescent="0.25"/>
    <row r="433" s="99" customFormat="1" x14ac:dyDescent="0.25"/>
    <row r="434" s="99" customFormat="1" x14ac:dyDescent="0.25"/>
    <row r="435" s="99" customFormat="1" x14ac:dyDescent="0.25"/>
    <row r="436" s="99" customFormat="1" x14ac:dyDescent="0.25"/>
    <row r="437" s="99" customFormat="1" x14ac:dyDescent="0.25"/>
    <row r="438" s="99" customFormat="1" x14ac:dyDescent="0.25"/>
    <row r="439" s="99" customFormat="1" x14ac:dyDescent="0.25"/>
    <row r="440" s="99" customFormat="1" x14ac:dyDescent="0.25"/>
    <row r="441" s="99" customFormat="1" x14ac:dyDescent="0.25"/>
    <row r="442" s="99" customFormat="1" x14ac:dyDescent="0.25"/>
    <row r="443" s="99" customFormat="1" x14ac:dyDescent="0.25"/>
    <row r="444" s="99" customFormat="1" x14ac:dyDescent="0.25"/>
    <row r="445" s="99" customFormat="1" x14ac:dyDescent="0.25"/>
    <row r="446" s="99" customFormat="1" x14ac:dyDescent="0.25"/>
    <row r="447" s="99" customFormat="1" x14ac:dyDescent="0.25"/>
    <row r="448" s="99" customFormat="1" x14ac:dyDescent="0.25"/>
    <row r="449" s="99" customFormat="1" x14ac:dyDescent="0.25"/>
    <row r="450" s="99" customFormat="1" x14ac:dyDescent="0.25"/>
    <row r="451" s="99" customFormat="1" x14ac:dyDescent="0.25"/>
    <row r="452" s="99" customFormat="1" x14ac:dyDescent="0.25"/>
    <row r="453" s="99" customFormat="1" x14ac:dyDescent="0.25"/>
    <row r="454" s="99" customFormat="1" x14ac:dyDescent="0.25"/>
    <row r="455" s="99" customFormat="1" x14ac:dyDescent="0.25"/>
    <row r="456" s="99" customFormat="1" x14ac:dyDescent="0.25"/>
    <row r="457" s="99" customFormat="1" x14ac:dyDescent="0.25"/>
    <row r="458" s="99" customFormat="1" x14ac:dyDescent="0.25"/>
    <row r="459" s="99" customFormat="1" x14ac:dyDescent="0.25"/>
    <row r="460" s="99" customFormat="1" x14ac:dyDescent="0.25"/>
    <row r="461" s="99" customFormat="1" x14ac:dyDescent="0.25"/>
    <row r="462" s="99" customFormat="1" x14ac:dyDescent="0.25"/>
    <row r="463" s="99" customFormat="1" x14ac:dyDescent="0.25"/>
    <row r="464" s="99" customFormat="1" x14ac:dyDescent="0.25"/>
    <row r="465" s="99" customFormat="1" x14ac:dyDescent="0.25"/>
    <row r="466" s="99" customFormat="1" x14ac:dyDescent="0.25"/>
    <row r="467" s="99" customFormat="1" x14ac:dyDescent="0.25"/>
    <row r="468" s="99" customFormat="1" x14ac:dyDescent="0.25"/>
    <row r="469" s="99" customFormat="1" x14ac:dyDescent="0.25"/>
    <row r="470" s="99" customFormat="1" x14ac:dyDescent="0.25"/>
    <row r="471" s="99" customFormat="1" x14ac:dyDescent="0.25"/>
    <row r="472" s="99" customFormat="1" x14ac:dyDescent="0.25"/>
    <row r="473" s="99" customFormat="1" x14ac:dyDescent="0.25"/>
    <row r="474" s="99" customFormat="1" x14ac:dyDescent="0.25"/>
    <row r="475" s="99" customFormat="1" x14ac:dyDescent="0.25"/>
    <row r="476" s="99" customFormat="1" x14ac:dyDescent="0.25"/>
    <row r="477" s="99" customFormat="1" x14ac:dyDescent="0.25"/>
    <row r="478" s="99" customFormat="1" x14ac:dyDescent="0.25"/>
    <row r="479" s="99" customFormat="1" x14ac:dyDescent="0.25"/>
    <row r="480" s="99" customFormat="1" x14ac:dyDescent="0.25"/>
    <row r="481" s="99" customFormat="1" x14ac:dyDescent="0.25"/>
    <row r="482" s="99" customFormat="1" x14ac:dyDescent="0.25"/>
    <row r="483" s="99" customFormat="1" x14ac:dyDescent="0.25"/>
    <row r="484" s="99" customFormat="1" x14ac:dyDescent="0.25"/>
    <row r="485" s="99" customFormat="1" x14ac:dyDescent="0.25"/>
    <row r="486" s="99" customFormat="1" x14ac:dyDescent="0.25"/>
    <row r="487" s="99" customFormat="1" x14ac:dyDescent="0.25"/>
    <row r="488" s="99" customFormat="1" x14ac:dyDescent="0.25"/>
    <row r="489" s="99" customFormat="1" x14ac:dyDescent="0.25"/>
    <row r="490" s="99" customFormat="1" x14ac:dyDescent="0.25"/>
    <row r="491" s="99" customFormat="1" x14ac:dyDescent="0.25"/>
    <row r="492" s="99" customFormat="1" x14ac:dyDescent="0.25"/>
    <row r="493" s="99" customFormat="1" x14ac:dyDescent="0.25"/>
    <row r="494" s="99" customFormat="1" x14ac:dyDescent="0.25"/>
    <row r="495" s="99" customFormat="1" x14ac:dyDescent="0.25"/>
    <row r="496" s="99" customFormat="1" x14ac:dyDescent="0.25"/>
    <row r="497" s="99" customFormat="1" x14ac:dyDescent="0.25"/>
    <row r="498" s="99" customFormat="1" x14ac:dyDescent="0.25"/>
    <row r="499" s="99" customFormat="1" x14ac:dyDescent="0.25"/>
    <row r="500" s="99" customFormat="1" x14ac:dyDescent="0.25"/>
    <row r="501" s="99" customFormat="1" x14ac:dyDescent="0.25"/>
    <row r="502" s="99" customFormat="1" x14ac:dyDescent="0.25"/>
    <row r="503" s="99" customFormat="1" x14ac:dyDescent="0.25"/>
    <row r="504" s="99" customFormat="1" x14ac:dyDescent="0.25"/>
    <row r="505" s="99" customFormat="1" x14ac:dyDescent="0.25"/>
    <row r="506" s="99" customFormat="1" x14ac:dyDescent="0.25"/>
    <row r="507" s="99" customFormat="1" x14ac:dyDescent="0.25"/>
    <row r="508" s="99" customFormat="1" x14ac:dyDescent="0.25"/>
    <row r="509" s="99" customFormat="1" x14ac:dyDescent="0.25"/>
    <row r="510" s="99" customFormat="1" x14ac:dyDescent="0.25"/>
    <row r="511" s="99" customFormat="1" x14ac:dyDescent="0.25"/>
    <row r="512" s="99" customFormat="1" x14ac:dyDescent="0.25"/>
    <row r="513" s="99" customFormat="1" x14ac:dyDescent="0.25"/>
    <row r="514" s="99" customFormat="1" x14ac:dyDescent="0.25"/>
    <row r="515" s="99" customFormat="1" x14ac:dyDescent="0.25"/>
    <row r="516" s="99" customFormat="1" x14ac:dyDescent="0.25"/>
    <row r="517" s="99" customFormat="1" x14ac:dyDescent="0.25"/>
    <row r="518" s="99" customFormat="1" x14ac:dyDescent="0.25"/>
    <row r="519" s="99" customFormat="1" x14ac:dyDescent="0.25"/>
    <row r="520" s="99" customFormat="1" x14ac:dyDescent="0.25"/>
    <row r="521" s="99" customFormat="1" x14ac:dyDescent="0.25"/>
    <row r="522" s="99" customFormat="1" x14ac:dyDescent="0.25"/>
    <row r="523" s="99" customFormat="1" x14ac:dyDescent="0.25"/>
    <row r="524" s="99" customFormat="1" x14ac:dyDescent="0.25"/>
    <row r="525" s="99" customFormat="1" x14ac:dyDescent="0.25"/>
    <row r="526" s="99" customFormat="1" x14ac:dyDescent="0.25"/>
    <row r="527" s="99" customFormat="1" x14ac:dyDescent="0.25"/>
    <row r="528" s="99" customFormat="1" x14ac:dyDescent="0.25"/>
    <row r="529" s="99" customFormat="1" x14ac:dyDescent="0.25"/>
    <row r="530" s="99" customFormat="1" x14ac:dyDescent="0.25"/>
    <row r="531" s="99" customFormat="1" x14ac:dyDescent="0.25"/>
    <row r="532" s="99" customFormat="1" x14ac:dyDescent="0.25"/>
    <row r="533" s="99" customFormat="1" x14ac:dyDescent="0.25"/>
    <row r="534" s="99" customFormat="1" x14ac:dyDescent="0.25"/>
    <row r="535" s="99" customFormat="1" x14ac:dyDescent="0.25"/>
    <row r="536" s="99" customFormat="1" x14ac:dyDescent="0.25"/>
    <row r="537" s="99" customFormat="1" x14ac:dyDescent="0.25"/>
    <row r="538" s="99" customFormat="1" x14ac:dyDescent="0.25"/>
    <row r="539" s="99" customFormat="1" x14ac:dyDescent="0.25"/>
    <row r="540" s="99" customFormat="1" x14ac:dyDescent="0.25"/>
    <row r="541" s="99" customFormat="1" x14ac:dyDescent="0.25"/>
    <row r="542" s="99" customFormat="1" x14ac:dyDescent="0.25"/>
    <row r="543" s="99" customFormat="1" x14ac:dyDescent="0.25"/>
    <row r="544" s="99" customFormat="1" x14ac:dyDescent="0.25"/>
    <row r="545" s="99" customFormat="1" x14ac:dyDescent="0.25"/>
    <row r="546" s="99" customFormat="1" x14ac:dyDescent="0.25"/>
    <row r="547" s="99" customFormat="1" x14ac:dyDescent="0.25"/>
    <row r="548" s="99" customFormat="1" x14ac:dyDescent="0.25"/>
    <row r="549" s="99" customFormat="1" x14ac:dyDescent="0.25"/>
    <row r="550" s="99" customFormat="1" x14ac:dyDescent="0.25"/>
    <row r="551" s="99" customFormat="1" x14ac:dyDescent="0.25"/>
    <row r="552" s="99" customFormat="1" x14ac:dyDescent="0.25"/>
    <row r="553" s="99" customFormat="1" x14ac:dyDescent="0.25"/>
    <row r="554" s="99" customFormat="1" x14ac:dyDescent="0.25"/>
    <row r="555" s="99" customFormat="1" x14ac:dyDescent="0.25"/>
    <row r="556" s="99" customFormat="1" x14ac:dyDescent="0.25"/>
    <row r="557" s="99" customFormat="1" x14ac:dyDescent="0.25"/>
    <row r="558" s="99" customFormat="1" x14ac:dyDescent="0.25"/>
    <row r="559" s="99" customFormat="1" x14ac:dyDescent="0.25"/>
    <row r="560" s="99" customFormat="1" x14ac:dyDescent="0.25"/>
    <row r="561" s="99" customFormat="1" x14ac:dyDescent="0.25"/>
    <row r="562" s="99" customFormat="1" x14ac:dyDescent="0.25"/>
    <row r="563" s="99" customFormat="1" x14ac:dyDescent="0.25"/>
    <row r="564" s="99" customFormat="1" x14ac:dyDescent="0.25"/>
    <row r="565" s="99" customFormat="1" x14ac:dyDescent="0.25"/>
    <row r="566" s="99" customFormat="1" x14ac:dyDescent="0.25"/>
    <row r="567" s="99" customFormat="1" x14ac:dyDescent="0.25"/>
    <row r="568" s="99" customFormat="1" x14ac:dyDescent="0.25"/>
    <row r="569" s="99" customFormat="1" x14ac:dyDescent="0.25"/>
    <row r="570" s="99" customFormat="1" x14ac:dyDescent="0.25"/>
    <row r="571" s="99" customFormat="1" x14ac:dyDescent="0.25"/>
    <row r="572" s="99" customFormat="1" x14ac:dyDescent="0.25"/>
    <row r="573" s="99" customFormat="1" x14ac:dyDescent="0.25"/>
    <row r="574" s="99" customFormat="1" x14ac:dyDescent="0.25"/>
    <row r="575" s="99" customFormat="1" x14ac:dyDescent="0.25"/>
    <row r="576" s="99" customFormat="1" x14ac:dyDescent="0.25"/>
    <row r="577" s="99" customFormat="1" x14ac:dyDescent="0.25"/>
    <row r="578" s="99" customFormat="1" x14ac:dyDescent="0.25"/>
    <row r="579" s="99" customFormat="1" x14ac:dyDescent="0.25"/>
    <row r="580" s="99" customFormat="1" x14ac:dyDescent="0.25"/>
    <row r="581" s="99" customFormat="1" x14ac:dyDescent="0.25"/>
    <row r="582" s="99" customFormat="1" x14ac:dyDescent="0.25"/>
    <row r="583" s="99" customFormat="1" x14ac:dyDescent="0.25"/>
    <row r="584" s="99" customFormat="1" x14ac:dyDescent="0.25"/>
    <row r="585" s="99" customFormat="1" x14ac:dyDescent="0.25"/>
    <row r="586" s="99" customFormat="1" x14ac:dyDescent="0.25"/>
    <row r="587" s="99" customFormat="1" x14ac:dyDescent="0.25"/>
    <row r="588" s="99" customFormat="1" x14ac:dyDescent="0.25"/>
    <row r="589" s="99" customFormat="1" x14ac:dyDescent="0.25"/>
    <row r="590" s="99" customFormat="1" x14ac:dyDescent="0.25"/>
    <row r="591" s="99" customFormat="1" x14ac:dyDescent="0.25"/>
    <row r="592" s="99" customFormat="1" x14ac:dyDescent="0.25"/>
    <row r="593" s="99" customFormat="1" x14ac:dyDescent="0.25"/>
    <row r="594" s="99" customFormat="1" x14ac:dyDescent="0.25"/>
    <row r="595" s="99" customFormat="1" x14ac:dyDescent="0.25"/>
    <row r="596" s="99" customFormat="1" x14ac:dyDescent="0.25"/>
    <row r="597" s="99" customFormat="1" x14ac:dyDescent="0.25"/>
    <row r="598" s="99" customFormat="1" x14ac:dyDescent="0.25"/>
    <row r="599" s="99" customFormat="1" x14ac:dyDescent="0.25"/>
    <row r="600" s="99" customFormat="1" x14ac:dyDescent="0.25"/>
    <row r="601" s="99" customFormat="1" x14ac:dyDescent="0.25"/>
    <row r="602" s="99" customFormat="1" x14ac:dyDescent="0.25"/>
    <row r="603" s="99" customFormat="1" x14ac:dyDescent="0.25"/>
    <row r="604" s="99" customFormat="1" x14ac:dyDescent="0.25"/>
    <row r="605" s="99" customFormat="1" x14ac:dyDescent="0.25"/>
    <row r="606" s="99" customFormat="1" x14ac:dyDescent="0.25"/>
    <row r="607" s="99" customFormat="1" x14ac:dyDescent="0.25"/>
    <row r="608" s="99" customFormat="1" x14ac:dyDescent="0.25"/>
    <row r="609" s="99" customFormat="1" x14ac:dyDescent="0.25"/>
    <row r="610" s="99" customFormat="1" x14ac:dyDescent="0.25"/>
    <row r="611" s="99" customFormat="1" x14ac:dyDescent="0.25"/>
    <row r="612" s="99" customFormat="1" x14ac:dyDescent="0.25"/>
    <row r="613" s="99" customFormat="1" x14ac:dyDescent="0.25"/>
    <row r="614" s="99" customFormat="1" x14ac:dyDescent="0.25"/>
    <row r="615" s="99" customFormat="1" x14ac:dyDescent="0.25"/>
    <row r="616" s="99" customFormat="1" x14ac:dyDescent="0.25"/>
    <row r="617" s="99" customFormat="1" x14ac:dyDescent="0.25"/>
    <row r="618" s="99" customFormat="1" x14ac:dyDescent="0.25"/>
    <row r="619" s="99" customFormat="1" x14ac:dyDescent="0.25"/>
    <row r="620" s="99" customFormat="1" x14ac:dyDescent="0.25"/>
    <row r="621" s="99" customFormat="1" x14ac:dyDescent="0.25"/>
    <row r="622" s="99" customFormat="1" x14ac:dyDescent="0.25"/>
    <row r="623" s="99" customFormat="1" x14ac:dyDescent="0.25"/>
    <row r="624" s="99" customFormat="1" x14ac:dyDescent="0.25"/>
    <row r="625" s="99" customFormat="1" x14ac:dyDescent="0.25"/>
    <row r="626" s="99" customFormat="1" x14ac:dyDescent="0.25"/>
    <row r="627" s="99" customFormat="1" x14ac:dyDescent="0.25"/>
    <row r="628" s="99" customFormat="1" x14ac:dyDescent="0.25"/>
    <row r="629" s="99" customFormat="1" x14ac:dyDescent="0.25"/>
    <row r="630" s="99" customFormat="1" x14ac:dyDescent="0.25"/>
    <row r="631" s="99" customFormat="1" x14ac:dyDescent="0.25"/>
    <row r="632" s="99" customFormat="1" x14ac:dyDescent="0.25"/>
    <row r="633" s="99" customFormat="1" x14ac:dyDescent="0.25"/>
    <row r="634" s="99" customFormat="1" x14ac:dyDescent="0.25"/>
    <row r="635" s="99" customFormat="1" x14ac:dyDescent="0.25"/>
    <row r="636" s="99" customFormat="1" x14ac:dyDescent="0.25"/>
    <row r="637" s="99" customFormat="1" x14ac:dyDescent="0.25"/>
    <row r="638" s="99" customFormat="1" x14ac:dyDescent="0.25"/>
    <row r="639" s="99" customFormat="1" x14ac:dyDescent="0.25"/>
    <row r="640" s="99" customFormat="1" x14ac:dyDescent="0.25"/>
    <row r="641" s="99" customFormat="1" x14ac:dyDescent="0.25"/>
    <row r="642" s="99" customFormat="1" x14ac:dyDescent="0.25"/>
    <row r="643" s="99" customFormat="1" x14ac:dyDescent="0.25"/>
    <row r="644" s="99" customFormat="1" x14ac:dyDescent="0.25"/>
    <row r="645" s="99" customFormat="1" x14ac:dyDescent="0.25"/>
    <row r="646" s="99" customFormat="1" x14ac:dyDescent="0.25"/>
    <row r="647" s="99" customFormat="1" x14ac:dyDescent="0.25"/>
    <row r="648" s="99" customFormat="1" x14ac:dyDescent="0.25"/>
    <row r="649" s="99" customFormat="1" x14ac:dyDescent="0.25"/>
    <row r="650" s="99" customFormat="1" x14ac:dyDescent="0.25"/>
    <row r="651" s="99" customFormat="1" x14ac:dyDescent="0.25"/>
    <row r="652" s="99" customFormat="1" x14ac:dyDescent="0.25"/>
    <row r="653" s="99" customFormat="1" x14ac:dyDescent="0.25"/>
    <row r="654" s="99" customFormat="1" x14ac:dyDescent="0.25"/>
    <row r="655" s="99" customFormat="1" x14ac:dyDescent="0.25"/>
    <row r="656" s="99" customFormat="1" x14ac:dyDescent="0.25"/>
    <row r="657" s="99" customFormat="1" x14ac:dyDescent="0.25"/>
    <row r="658" s="99" customFormat="1" x14ac:dyDescent="0.25"/>
    <row r="659" s="99" customFormat="1" x14ac:dyDescent="0.25"/>
    <row r="660" s="99" customFormat="1" x14ac:dyDescent="0.25"/>
    <row r="661" s="99" customFormat="1" x14ac:dyDescent="0.25"/>
    <row r="662" s="99" customFormat="1" x14ac:dyDescent="0.25"/>
    <row r="663" s="99" customFormat="1" x14ac:dyDescent="0.25"/>
    <row r="664" s="99" customFormat="1" x14ac:dyDescent="0.25"/>
    <row r="665" s="99" customFormat="1" x14ac:dyDescent="0.25"/>
    <row r="666" s="99" customFormat="1" x14ac:dyDescent="0.25"/>
    <row r="667" s="99" customFormat="1" x14ac:dyDescent="0.25"/>
    <row r="668" s="99" customFormat="1" x14ac:dyDescent="0.25"/>
    <row r="669" s="99" customFormat="1" x14ac:dyDescent="0.25"/>
    <row r="670" s="99" customFormat="1" x14ac:dyDescent="0.25"/>
    <row r="671" s="99" customFormat="1" x14ac:dyDescent="0.25"/>
    <row r="672" s="99" customFormat="1" x14ac:dyDescent="0.25"/>
    <row r="673" s="99" customFormat="1" x14ac:dyDescent="0.25"/>
    <row r="674" s="99" customFormat="1" x14ac:dyDescent="0.25"/>
    <row r="675" s="99" customFormat="1" x14ac:dyDescent="0.25"/>
    <row r="676" s="99" customFormat="1" x14ac:dyDescent="0.25"/>
    <row r="677" s="99" customFormat="1" x14ac:dyDescent="0.25"/>
    <row r="678" s="99" customFormat="1" x14ac:dyDescent="0.25"/>
    <row r="679" s="99" customFormat="1" x14ac:dyDescent="0.25"/>
    <row r="680" s="99" customFormat="1" x14ac:dyDescent="0.25"/>
    <row r="681" s="99" customFormat="1" x14ac:dyDescent="0.25"/>
    <row r="682" s="99" customFormat="1" x14ac:dyDescent="0.25"/>
    <row r="683" s="99" customFormat="1" x14ac:dyDescent="0.25"/>
    <row r="684" s="99" customFormat="1" x14ac:dyDescent="0.25"/>
    <row r="685" s="99" customFormat="1" x14ac:dyDescent="0.25"/>
    <row r="686" s="99" customFormat="1" x14ac:dyDescent="0.25"/>
    <row r="687" s="99" customFormat="1" x14ac:dyDescent="0.25"/>
    <row r="688" s="99" customFormat="1" x14ac:dyDescent="0.25"/>
    <row r="689" s="99" customFormat="1" x14ac:dyDescent="0.25"/>
    <row r="690" s="99" customFormat="1" x14ac:dyDescent="0.25"/>
    <row r="691" s="99" customFormat="1" x14ac:dyDescent="0.25"/>
    <row r="692" s="99" customFormat="1" x14ac:dyDescent="0.25"/>
    <row r="693" s="99" customFormat="1" x14ac:dyDescent="0.25"/>
    <row r="694" s="99" customFormat="1" x14ac:dyDescent="0.25"/>
    <row r="695" s="99" customFormat="1" x14ac:dyDescent="0.25"/>
    <row r="696" s="99" customFormat="1" x14ac:dyDescent="0.25"/>
    <row r="697" s="99" customFormat="1" x14ac:dyDescent="0.25"/>
    <row r="698" s="99" customFormat="1" x14ac:dyDescent="0.25"/>
    <row r="699" s="99" customFormat="1" x14ac:dyDescent="0.25"/>
    <row r="700" s="99" customFormat="1" x14ac:dyDescent="0.25"/>
    <row r="701" s="99" customFormat="1" x14ac:dyDescent="0.25"/>
    <row r="702" s="99" customFormat="1" x14ac:dyDescent="0.25"/>
    <row r="703" s="99" customFormat="1" x14ac:dyDescent="0.25"/>
    <row r="704" s="99" customFormat="1" x14ac:dyDescent="0.25"/>
    <row r="705" s="99" customFormat="1" x14ac:dyDescent="0.25"/>
    <row r="706" s="99" customFormat="1" x14ac:dyDescent="0.25"/>
    <row r="707" s="99" customFormat="1" x14ac:dyDescent="0.25"/>
    <row r="708" s="99" customFormat="1" x14ac:dyDescent="0.25"/>
    <row r="709" s="99" customFormat="1" x14ac:dyDescent="0.25"/>
    <row r="710" s="99" customFormat="1" x14ac:dyDescent="0.25"/>
    <row r="711" s="99" customFormat="1" x14ac:dyDescent="0.25"/>
    <row r="712" s="99" customFormat="1" x14ac:dyDescent="0.25"/>
    <row r="713" s="99" customFormat="1" x14ac:dyDescent="0.25"/>
    <row r="714" s="99" customFormat="1" x14ac:dyDescent="0.25"/>
    <row r="715" s="99" customFormat="1" x14ac:dyDescent="0.25"/>
    <row r="716" s="99" customFormat="1" x14ac:dyDescent="0.25"/>
    <row r="717" s="99" customFormat="1" x14ac:dyDescent="0.25"/>
    <row r="718" s="99" customFormat="1" x14ac:dyDescent="0.25"/>
    <row r="719" s="99" customFormat="1" x14ac:dyDescent="0.25"/>
    <row r="720" s="99" customFormat="1" x14ac:dyDescent="0.25"/>
    <row r="721" s="99" customFormat="1" x14ac:dyDescent="0.25"/>
    <row r="722" s="99" customFormat="1" x14ac:dyDescent="0.25"/>
    <row r="723" s="99" customFormat="1" x14ac:dyDescent="0.25"/>
    <row r="724" s="99" customFormat="1" x14ac:dyDescent="0.25"/>
    <row r="725" s="99" customFormat="1" x14ac:dyDescent="0.25"/>
    <row r="726" s="99" customFormat="1" x14ac:dyDescent="0.25"/>
    <row r="727" s="99" customFormat="1" x14ac:dyDescent="0.25"/>
    <row r="728" s="99" customFormat="1" x14ac:dyDescent="0.25"/>
    <row r="729" s="99" customFormat="1" x14ac:dyDescent="0.25"/>
    <row r="730" s="99" customFormat="1" x14ac:dyDescent="0.25"/>
    <row r="731" s="99" customFormat="1" x14ac:dyDescent="0.25"/>
    <row r="732" s="99" customFormat="1" x14ac:dyDescent="0.25"/>
    <row r="733" s="99" customFormat="1" x14ac:dyDescent="0.25"/>
    <row r="734" s="99" customFormat="1" x14ac:dyDescent="0.25"/>
    <row r="735" s="99" customFormat="1" x14ac:dyDescent="0.25"/>
    <row r="736" s="99" customFormat="1" x14ac:dyDescent="0.25"/>
    <row r="737" s="99" customFormat="1" x14ac:dyDescent="0.25"/>
    <row r="738" s="99" customFormat="1" x14ac:dyDescent="0.25"/>
    <row r="739" s="99" customFormat="1" x14ac:dyDescent="0.25"/>
    <row r="740" s="99" customFormat="1" x14ac:dyDescent="0.25"/>
    <row r="741" s="99" customFormat="1" x14ac:dyDescent="0.25"/>
    <row r="742" s="99" customFormat="1" x14ac:dyDescent="0.25"/>
    <row r="743" s="99" customFormat="1" x14ac:dyDescent="0.25"/>
    <row r="744" s="99" customFormat="1" x14ac:dyDescent="0.25"/>
    <row r="745" s="99" customFormat="1" x14ac:dyDescent="0.25"/>
    <row r="746" s="99" customFormat="1" x14ac:dyDescent="0.25"/>
    <row r="747" s="99" customFormat="1" x14ac:dyDescent="0.25"/>
    <row r="748" s="99" customFormat="1" x14ac:dyDescent="0.25"/>
    <row r="749" s="99" customFormat="1" x14ac:dyDescent="0.25"/>
    <row r="750" s="99" customFormat="1" x14ac:dyDescent="0.25"/>
    <row r="751" s="99" customFormat="1" x14ac:dyDescent="0.25"/>
    <row r="752" s="99" customFormat="1" x14ac:dyDescent="0.25"/>
    <row r="753" s="99" customFormat="1" x14ac:dyDescent="0.25"/>
    <row r="754" s="99" customFormat="1" x14ac:dyDescent="0.25"/>
    <row r="755" s="99" customFormat="1" x14ac:dyDescent="0.25"/>
    <row r="756" s="99" customFormat="1" x14ac:dyDescent="0.25"/>
    <row r="757" s="99" customFormat="1" x14ac:dyDescent="0.25"/>
    <row r="758" s="99" customFormat="1" x14ac:dyDescent="0.25"/>
    <row r="759" s="99" customFormat="1" x14ac:dyDescent="0.25"/>
    <row r="760" s="99" customFormat="1" x14ac:dyDescent="0.25"/>
    <row r="761" s="99" customFormat="1" x14ac:dyDescent="0.25"/>
    <row r="762" s="99" customFormat="1" x14ac:dyDescent="0.25"/>
    <row r="763" s="99" customFormat="1" x14ac:dyDescent="0.25"/>
    <row r="764" s="99" customFormat="1" x14ac:dyDescent="0.25"/>
    <row r="765" s="99" customFormat="1" x14ac:dyDescent="0.25"/>
    <row r="766" s="99" customFormat="1" x14ac:dyDescent="0.25"/>
    <row r="767" s="99" customFormat="1" x14ac:dyDescent="0.25"/>
    <row r="768" s="99" customFormat="1" x14ac:dyDescent="0.25"/>
    <row r="769" s="99" customFormat="1" x14ac:dyDescent="0.25"/>
    <row r="770" s="99" customFormat="1" x14ac:dyDescent="0.25"/>
    <row r="771" s="99" customFormat="1" x14ac:dyDescent="0.25"/>
    <row r="772" s="99" customFormat="1" x14ac:dyDescent="0.25"/>
    <row r="773" s="99" customFormat="1" x14ac:dyDescent="0.25"/>
    <row r="774" s="99" customFormat="1" x14ac:dyDescent="0.25"/>
    <row r="775" s="99" customFormat="1" x14ac:dyDescent="0.25"/>
    <row r="776" s="99" customFormat="1" x14ac:dyDescent="0.25"/>
    <row r="777" s="99" customFormat="1" x14ac:dyDescent="0.25"/>
    <row r="778" s="99" customFormat="1" x14ac:dyDescent="0.25"/>
    <row r="779" s="99" customFormat="1" x14ac:dyDescent="0.25"/>
    <row r="780" s="99" customFormat="1" x14ac:dyDescent="0.25"/>
    <row r="781" s="99" customFormat="1" x14ac:dyDescent="0.25"/>
    <row r="782" s="99" customFormat="1" x14ac:dyDescent="0.25"/>
    <row r="783" s="99" customFormat="1" x14ac:dyDescent="0.25"/>
    <row r="784" s="99" customFormat="1" x14ac:dyDescent="0.25"/>
    <row r="785" s="99" customFormat="1" x14ac:dyDescent="0.25"/>
    <row r="786" s="99" customFormat="1" x14ac:dyDescent="0.25"/>
    <row r="787" s="99" customFormat="1" x14ac:dyDescent="0.25"/>
    <row r="788" s="99" customFormat="1" x14ac:dyDescent="0.25"/>
    <row r="789" s="99" customFormat="1" x14ac:dyDescent="0.25"/>
    <row r="790" s="99" customFormat="1" x14ac:dyDescent="0.25"/>
    <row r="791" s="99" customFormat="1" x14ac:dyDescent="0.25"/>
    <row r="792" s="99" customFormat="1" x14ac:dyDescent="0.25"/>
    <row r="793" s="99" customFormat="1" x14ac:dyDescent="0.25"/>
    <row r="794" s="99" customFormat="1" x14ac:dyDescent="0.25"/>
    <row r="795" s="99" customFormat="1" x14ac:dyDescent="0.25"/>
    <row r="796" s="99" customFormat="1" x14ac:dyDescent="0.25"/>
    <row r="797" s="99" customFormat="1" x14ac:dyDescent="0.25"/>
    <row r="798" s="99" customFormat="1" x14ac:dyDescent="0.25"/>
    <row r="799" s="99" customFormat="1" x14ac:dyDescent="0.25"/>
    <row r="800" s="99" customFormat="1" x14ac:dyDescent="0.25"/>
    <row r="801" s="99" customFormat="1" x14ac:dyDescent="0.25"/>
    <row r="802" s="99" customFormat="1" x14ac:dyDescent="0.25"/>
    <row r="803" s="99" customFormat="1" x14ac:dyDescent="0.25"/>
    <row r="804" s="99" customFormat="1" x14ac:dyDescent="0.25"/>
    <row r="805" s="99" customFormat="1" x14ac:dyDescent="0.25"/>
    <row r="806" s="99" customFormat="1" x14ac:dyDescent="0.25"/>
    <row r="807" s="99" customFormat="1" x14ac:dyDescent="0.25"/>
    <row r="808" s="99" customFormat="1" x14ac:dyDescent="0.25"/>
    <row r="809" s="99" customFormat="1" x14ac:dyDescent="0.25"/>
    <row r="810" s="99" customFormat="1" x14ac:dyDescent="0.25"/>
    <row r="811" s="99" customFormat="1" x14ac:dyDescent="0.25"/>
    <row r="812" s="99" customFormat="1" x14ac:dyDescent="0.25"/>
    <row r="813" s="99" customFormat="1" x14ac:dyDescent="0.25"/>
    <row r="814" s="99" customFormat="1" x14ac:dyDescent="0.25"/>
    <row r="815" s="99" customFormat="1" x14ac:dyDescent="0.25"/>
    <row r="816" s="99" customFormat="1" x14ac:dyDescent="0.25"/>
    <row r="817" s="99" customFormat="1" x14ac:dyDescent="0.25"/>
    <row r="818" s="99" customFormat="1" x14ac:dyDescent="0.25"/>
    <row r="819" s="99" customFormat="1" x14ac:dyDescent="0.25"/>
    <row r="820" s="99" customFormat="1" x14ac:dyDescent="0.25"/>
    <row r="821" s="99" customFormat="1" x14ac:dyDescent="0.25"/>
    <row r="822" s="99" customFormat="1" x14ac:dyDescent="0.25"/>
    <row r="823" s="99" customFormat="1" x14ac:dyDescent="0.25"/>
    <row r="824" s="99" customFormat="1" x14ac:dyDescent="0.25"/>
    <row r="825" s="99" customFormat="1" x14ac:dyDescent="0.25"/>
    <row r="826" s="99" customFormat="1" x14ac:dyDescent="0.25"/>
    <row r="827" s="99" customFormat="1" x14ac:dyDescent="0.25"/>
    <row r="828" s="99" customFormat="1" x14ac:dyDescent="0.25"/>
    <row r="829" s="99" customFormat="1" x14ac:dyDescent="0.25"/>
    <row r="830" s="99" customFormat="1" x14ac:dyDescent="0.25"/>
    <row r="831" s="99" customFormat="1" x14ac:dyDescent="0.25"/>
    <row r="832" s="99" customFormat="1" x14ac:dyDescent="0.25"/>
    <row r="833" s="99" customFormat="1" x14ac:dyDescent="0.25"/>
    <row r="834" s="99" customFormat="1" x14ac:dyDescent="0.25"/>
    <row r="835" s="99" customFormat="1" x14ac:dyDescent="0.25"/>
    <row r="836" s="99" customFormat="1" x14ac:dyDescent="0.25"/>
    <row r="837" s="99" customFormat="1" x14ac:dyDescent="0.25"/>
    <row r="838" s="99" customFormat="1" x14ac:dyDescent="0.25"/>
    <row r="839" s="99" customFormat="1" x14ac:dyDescent="0.25"/>
    <row r="840" s="99" customFormat="1" x14ac:dyDescent="0.25"/>
    <row r="841" s="99" customFormat="1" x14ac:dyDescent="0.25"/>
    <row r="842" s="99" customFormat="1" x14ac:dyDescent="0.25"/>
    <row r="843" s="99" customFormat="1" x14ac:dyDescent="0.25"/>
    <row r="844" s="99" customFormat="1" x14ac:dyDescent="0.25"/>
    <row r="845" s="99" customFormat="1" x14ac:dyDescent="0.25"/>
    <row r="846" s="99" customFormat="1" x14ac:dyDescent="0.25"/>
    <row r="847" s="99" customFormat="1" x14ac:dyDescent="0.25"/>
    <row r="848" s="99" customFormat="1" x14ac:dyDescent="0.25"/>
    <row r="849" s="99" customFormat="1" x14ac:dyDescent="0.25"/>
    <row r="850" s="99" customFormat="1" x14ac:dyDescent="0.25"/>
    <row r="851" s="99" customFormat="1" x14ac:dyDescent="0.25"/>
    <row r="852" s="99" customFormat="1" x14ac:dyDescent="0.25"/>
    <row r="853" s="99" customFormat="1" x14ac:dyDescent="0.25"/>
    <row r="854" s="99" customFormat="1" x14ac:dyDescent="0.25"/>
    <row r="855" s="99" customFormat="1" x14ac:dyDescent="0.25"/>
    <row r="856" s="99" customFormat="1" x14ac:dyDescent="0.25"/>
    <row r="857" s="99" customFormat="1" x14ac:dyDescent="0.25"/>
    <row r="858" s="99" customFormat="1" x14ac:dyDescent="0.25"/>
    <row r="859" s="99" customFormat="1" x14ac:dyDescent="0.25"/>
    <row r="860" s="99" customFormat="1" x14ac:dyDescent="0.25"/>
    <row r="861" s="99" customFormat="1" x14ac:dyDescent="0.25"/>
    <row r="862" s="99" customFormat="1" x14ac:dyDescent="0.25"/>
    <row r="863" s="99" customFormat="1" x14ac:dyDescent="0.25"/>
    <row r="864" s="99" customFormat="1" x14ac:dyDescent="0.25"/>
    <row r="865" s="99" customFormat="1" x14ac:dyDescent="0.25"/>
    <row r="866" s="99" customFormat="1" x14ac:dyDescent="0.25"/>
    <row r="867" s="99" customFormat="1" x14ac:dyDescent="0.25"/>
    <row r="868" s="99" customFormat="1" x14ac:dyDescent="0.25"/>
    <row r="869" s="99" customFormat="1" x14ac:dyDescent="0.25"/>
    <row r="870" s="99" customFormat="1" x14ac:dyDescent="0.25"/>
    <row r="871" s="99" customFormat="1" x14ac:dyDescent="0.25"/>
    <row r="872" s="99" customFormat="1" x14ac:dyDescent="0.25"/>
    <row r="873" s="99" customFormat="1" x14ac:dyDescent="0.25"/>
    <row r="874" s="99" customFormat="1" x14ac:dyDescent="0.25"/>
    <row r="875" s="99" customFormat="1" x14ac:dyDescent="0.25"/>
    <row r="876" s="99" customFormat="1" x14ac:dyDescent="0.25"/>
    <row r="877" s="99" customFormat="1" x14ac:dyDescent="0.25"/>
    <row r="878" s="99" customFormat="1" x14ac:dyDescent="0.25"/>
    <row r="879" s="99" customFormat="1" x14ac:dyDescent="0.25"/>
    <row r="880" s="99" customFormat="1" x14ac:dyDescent="0.25"/>
    <row r="881" s="99" customFormat="1" x14ac:dyDescent="0.25"/>
    <row r="882" s="99" customFormat="1" x14ac:dyDescent="0.25"/>
    <row r="883" s="99" customFormat="1" x14ac:dyDescent="0.25"/>
    <row r="884" s="99" customFormat="1" x14ac:dyDescent="0.25"/>
    <row r="885" s="99" customFormat="1" x14ac:dyDescent="0.25"/>
    <row r="886" s="99" customFormat="1" x14ac:dyDescent="0.25"/>
    <row r="887" s="99" customFormat="1" x14ac:dyDescent="0.25"/>
    <row r="888" s="99" customFormat="1" x14ac:dyDescent="0.25"/>
    <row r="889" s="99" customFormat="1" x14ac:dyDescent="0.25"/>
    <row r="890" s="99" customFormat="1" x14ac:dyDescent="0.25"/>
    <row r="891" s="99" customFormat="1" x14ac:dyDescent="0.25"/>
    <row r="892" s="99" customFormat="1" x14ac:dyDescent="0.25"/>
    <row r="893" s="99" customFormat="1" x14ac:dyDescent="0.25"/>
    <row r="894" s="99" customFormat="1" x14ac:dyDescent="0.25"/>
    <row r="895" s="99" customFormat="1" x14ac:dyDescent="0.25"/>
    <row r="896" s="99" customFormat="1" x14ac:dyDescent="0.25"/>
    <row r="897" s="99" customFormat="1" x14ac:dyDescent="0.25"/>
    <row r="898" s="99" customFormat="1" x14ac:dyDescent="0.25"/>
    <row r="899" s="99" customFormat="1" x14ac:dyDescent="0.25"/>
    <row r="900" s="99" customFormat="1" x14ac:dyDescent="0.25"/>
    <row r="901" s="99" customFormat="1" x14ac:dyDescent="0.25"/>
    <row r="902" s="99" customFormat="1" x14ac:dyDescent="0.25"/>
    <row r="903" s="99" customFormat="1" x14ac:dyDescent="0.25"/>
    <row r="904" s="99" customFormat="1" x14ac:dyDescent="0.25"/>
    <row r="905" s="99" customFormat="1" x14ac:dyDescent="0.25"/>
    <row r="906" s="99" customFormat="1" x14ac:dyDescent="0.25"/>
    <row r="907" s="99" customFormat="1" x14ac:dyDescent="0.25"/>
    <row r="908" s="99" customFormat="1" x14ac:dyDescent="0.25"/>
    <row r="909" s="99" customFormat="1" x14ac:dyDescent="0.25"/>
    <row r="910" s="99" customFormat="1" x14ac:dyDescent="0.25"/>
    <row r="911" s="99" customFormat="1" x14ac:dyDescent="0.25"/>
    <row r="912" s="99" customFormat="1" x14ac:dyDescent="0.25"/>
    <row r="913" s="99" customFormat="1" x14ac:dyDescent="0.25"/>
    <row r="914" s="99" customFormat="1" x14ac:dyDescent="0.25"/>
    <row r="915" s="99" customFormat="1" x14ac:dyDescent="0.25"/>
    <row r="916" s="99" customFormat="1" x14ac:dyDescent="0.25"/>
    <row r="917" s="99" customFormat="1" x14ac:dyDescent="0.25"/>
    <row r="918" s="99" customFormat="1" x14ac:dyDescent="0.25"/>
    <row r="919" s="99" customFormat="1" x14ac:dyDescent="0.25"/>
    <row r="920" s="99" customFormat="1" x14ac:dyDescent="0.25"/>
    <row r="921" s="99" customFormat="1" x14ac:dyDescent="0.25"/>
    <row r="922" s="99" customFormat="1" x14ac:dyDescent="0.25"/>
    <row r="923" s="99" customFormat="1" x14ac:dyDescent="0.25"/>
    <row r="924" s="99" customFormat="1" x14ac:dyDescent="0.25"/>
    <row r="925" s="99" customFormat="1" x14ac:dyDescent="0.25"/>
    <row r="926" s="99" customFormat="1" x14ac:dyDescent="0.25"/>
    <row r="927" s="99" customFormat="1" x14ac:dyDescent="0.25"/>
    <row r="928" s="99" customFormat="1" x14ac:dyDescent="0.25"/>
    <row r="929" s="99" customFormat="1" x14ac:dyDescent="0.25"/>
    <row r="930" s="99" customFormat="1" x14ac:dyDescent="0.25"/>
    <row r="931" s="99" customFormat="1" x14ac:dyDescent="0.25"/>
    <row r="932" s="99" customFormat="1" x14ac:dyDescent="0.25"/>
    <row r="933" s="99" customFormat="1" x14ac:dyDescent="0.25"/>
    <row r="934" s="99" customFormat="1" x14ac:dyDescent="0.25"/>
    <row r="935" s="99" customFormat="1" x14ac:dyDescent="0.25"/>
    <row r="936" s="99" customFormat="1" x14ac:dyDescent="0.25"/>
    <row r="937" s="99" customFormat="1" x14ac:dyDescent="0.25"/>
    <row r="938" s="99" customFormat="1" x14ac:dyDescent="0.25"/>
    <row r="939" s="99" customFormat="1" x14ac:dyDescent="0.25"/>
    <row r="940" s="99" customFormat="1" x14ac:dyDescent="0.25"/>
    <row r="941" s="99" customFormat="1" x14ac:dyDescent="0.25"/>
    <row r="942" s="99" customFormat="1" x14ac:dyDescent="0.25"/>
    <row r="943" s="99" customFormat="1" x14ac:dyDescent="0.25"/>
    <row r="944" s="99" customFormat="1" x14ac:dyDescent="0.25"/>
    <row r="945" s="99" customFormat="1" x14ac:dyDescent="0.25"/>
    <row r="946" s="99" customFormat="1" x14ac:dyDescent="0.25"/>
    <row r="947" s="99" customFormat="1" x14ac:dyDescent="0.25"/>
    <row r="948" s="99" customFormat="1" x14ac:dyDescent="0.25"/>
    <row r="949" s="99" customFormat="1" x14ac:dyDescent="0.25"/>
    <row r="950" s="99" customFormat="1" x14ac:dyDescent="0.25"/>
    <row r="951" s="99" customFormat="1" x14ac:dyDescent="0.25"/>
    <row r="952" s="99" customFormat="1" x14ac:dyDescent="0.25"/>
    <row r="953" s="99" customFormat="1" x14ac:dyDescent="0.25"/>
    <row r="954" s="99" customFormat="1" x14ac:dyDescent="0.25"/>
    <row r="955" s="99" customFormat="1" x14ac:dyDescent="0.25"/>
    <row r="956" s="99" customFormat="1" x14ac:dyDescent="0.25"/>
    <row r="957" s="99" customFormat="1" x14ac:dyDescent="0.25"/>
    <row r="958" s="99" customFormat="1" x14ac:dyDescent="0.25"/>
    <row r="959" s="99" customFormat="1" x14ac:dyDescent="0.25"/>
    <row r="960" s="99" customFormat="1" x14ac:dyDescent="0.25"/>
    <row r="961" s="99" customFormat="1" x14ac:dyDescent="0.25"/>
    <row r="962" s="99" customFormat="1" x14ac:dyDescent="0.25"/>
    <row r="963" s="99" customFormat="1" x14ac:dyDescent="0.25"/>
    <row r="964" s="99" customFormat="1" x14ac:dyDescent="0.25"/>
    <row r="965" s="99" customFormat="1" x14ac:dyDescent="0.25"/>
    <row r="966" s="99" customFormat="1" x14ac:dyDescent="0.25"/>
    <row r="967" s="99" customFormat="1" x14ac:dyDescent="0.25"/>
    <row r="968" s="99" customFormat="1" x14ac:dyDescent="0.25"/>
    <row r="969" s="99" customFormat="1" x14ac:dyDescent="0.25"/>
    <row r="970" s="99" customFormat="1" x14ac:dyDescent="0.25"/>
    <row r="971" s="99" customFormat="1" x14ac:dyDescent="0.25"/>
    <row r="972" s="99" customFormat="1" x14ac:dyDescent="0.25"/>
    <row r="973" s="99" customFormat="1" x14ac:dyDescent="0.25"/>
    <row r="974" s="99" customFormat="1" x14ac:dyDescent="0.25"/>
    <row r="975" s="99" customFormat="1" x14ac:dyDescent="0.25"/>
    <row r="976" s="99" customFormat="1" x14ac:dyDescent="0.25"/>
    <row r="977" s="99" customFormat="1" x14ac:dyDescent="0.25"/>
    <row r="978" s="99" customFormat="1" x14ac:dyDescent="0.25"/>
    <row r="979" s="99" customFormat="1" x14ac:dyDescent="0.25"/>
    <row r="980" s="99" customFormat="1" x14ac:dyDescent="0.25"/>
    <row r="981" s="99" customFormat="1" x14ac:dyDescent="0.25"/>
    <row r="982" s="99" customFormat="1" x14ac:dyDescent="0.25"/>
    <row r="983" s="99" customFormat="1" x14ac:dyDescent="0.25"/>
    <row r="984" s="99" customFormat="1" x14ac:dyDescent="0.25"/>
    <row r="985" s="99" customFormat="1" x14ac:dyDescent="0.25"/>
    <row r="986" s="99" customFormat="1" x14ac:dyDescent="0.25"/>
    <row r="987" s="99" customFormat="1" x14ac:dyDescent="0.25"/>
    <row r="988" s="99" customFormat="1" x14ac:dyDescent="0.25"/>
    <row r="989" s="99" customFormat="1" x14ac:dyDescent="0.25"/>
    <row r="990" s="99" customFormat="1" x14ac:dyDescent="0.25"/>
    <row r="991" s="99" customFormat="1" x14ac:dyDescent="0.25"/>
    <row r="992" s="99" customFormat="1" x14ac:dyDescent="0.25"/>
    <row r="993" s="99" customFormat="1" x14ac:dyDescent="0.25"/>
    <row r="994" s="99" customFormat="1" x14ac:dyDescent="0.25"/>
    <row r="995" s="99" customFormat="1" x14ac:dyDescent="0.25"/>
    <row r="996" s="99" customFormat="1" x14ac:dyDescent="0.25"/>
    <row r="997" s="99" customFormat="1" x14ac:dyDescent="0.25"/>
    <row r="998" s="99" customFormat="1" x14ac:dyDescent="0.25"/>
    <row r="999" s="99" customFormat="1" x14ac:dyDescent="0.25"/>
    <row r="1000" s="99" customFormat="1" x14ac:dyDescent="0.25"/>
    <row r="1001" s="99" customFormat="1" x14ac:dyDescent="0.25"/>
    <row r="1002" s="99" customFormat="1" x14ac:dyDescent="0.25"/>
    <row r="1003" s="99" customFormat="1" x14ac:dyDescent="0.25"/>
    <row r="1004" s="99" customFormat="1" x14ac:dyDescent="0.25"/>
    <row r="1005" s="99" customFormat="1" x14ac:dyDescent="0.25"/>
    <row r="1006" s="99" customFormat="1" x14ac:dyDescent="0.25"/>
    <row r="1007" s="99" customFormat="1" x14ac:dyDescent="0.25"/>
    <row r="1008" s="99" customFormat="1" x14ac:dyDescent="0.25"/>
    <row r="1009" s="99" customFormat="1" x14ac:dyDescent="0.25"/>
    <row r="1010" s="99" customFormat="1" x14ac:dyDescent="0.25"/>
    <row r="1011" s="99" customFormat="1" x14ac:dyDescent="0.25"/>
    <row r="1012" s="99" customFormat="1" x14ac:dyDescent="0.25"/>
    <row r="1013" s="99" customFormat="1" x14ac:dyDescent="0.25"/>
    <row r="1014" s="99" customFormat="1" x14ac:dyDescent="0.25"/>
    <row r="1015" s="99" customFormat="1" x14ac:dyDescent="0.25"/>
    <row r="1016" s="99" customFormat="1" x14ac:dyDescent="0.25"/>
    <row r="1017" s="99" customFormat="1" x14ac:dyDescent="0.25"/>
    <row r="1018" s="99" customFormat="1" x14ac:dyDescent="0.25"/>
    <row r="1019" s="99" customFormat="1" x14ac:dyDescent="0.25"/>
    <row r="1020" s="99" customFormat="1" x14ac:dyDescent="0.25"/>
    <row r="1021" s="99" customFormat="1" x14ac:dyDescent="0.25"/>
    <row r="1022" s="99" customFormat="1" x14ac:dyDescent="0.25"/>
    <row r="1023" s="99" customFormat="1" x14ac:dyDescent="0.25"/>
    <row r="1024" s="99" customFormat="1" x14ac:dyDescent="0.25"/>
    <row r="1025" s="99" customFormat="1" x14ac:dyDescent="0.25"/>
    <row r="1026" s="99" customFormat="1" x14ac:dyDescent="0.25"/>
    <row r="1027" s="99" customFormat="1" x14ac:dyDescent="0.25"/>
    <row r="1028" s="99" customFormat="1" x14ac:dyDescent="0.25"/>
    <row r="1029" s="99" customFormat="1" x14ac:dyDescent="0.25"/>
    <row r="1030" s="99" customFormat="1" x14ac:dyDescent="0.25"/>
    <row r="1031" s="99" customFormat="1" x14ac:dyDescent="0.25"/>
    <row r="1032" s="99" customFormat="1" x14ac:dyDescent="0.25"/>
    <row r="1033" s="99" customFormat="1" x14ac:dyDescent="0.25"/>
    <row r="1034" s="99" customFormat="1" x14ac:dyDescent="0.25"/>
    <row r="1035" s="99" customFormat="1" x14ac:dyDescent="0.25"/>
    <row r="1036" s="99" customFormat="1" x14ac:dyDescent="0.25"/>
    <row r="1037" s="99" customFormat="1" x14ac:dyDescent="0.25"/>
    <row r="1038" s="99" customFormat="1" x14ac:dyDescent="0.25"/>
    <row r="1039" s="99" customFormat="1" x14ac:dyDescent="0.25"/>
    <row r="1040" s="99" customFormat="1" x14ac:dyDescent="0.25"/>
    <row r="1041" s="99" customFormat="1" x14ac:dyDescent="0.25"/>
    <row r="1042" s="99" customFormat="1" x14ac:dyDescent="0.25"/>
    <row r="1043" s="99" customFormat="1" x14ac:dyDescent="0.25"/>
    <row r="1044" s="99" customFormat="1" x14ac:dyDescent="0.25"/>
    <row r="1045" s="99" customFormat="1" x14ac:dyDescent="0.25"/>
    <row r="1046" s="99" customFormat="1" x14ac:dyDescent="0.25"/>
    <row r="1047" s="99" customFormat="1" x14ac:dyDescent="0.25"/>
    <row r="1048" s="99" customFormat="1" x14ac:dyDescent="0.25"/>
    <row r="1049" s="99" customFormat="1" x14ac:dyDescent="0.25"/>
    <row r="1050" s="99" customFormat="1" x14ac:dyDescent="0.25"/>
    <row r="1051" s="99" customFormat="1" x14ac:dyDescent="0.25"/>
    <row r="1052" s="99" customFormat="1" x14ac:dyDescent="0.25"/>
    <row r="1053" s="99" customFormat="1" x14ac:dyDescent="0.25"/>
    <row r="1054" s="99" customFormat="1" x14ac:dyDescent="0.25"/>
    <row r="1055" s="99" customFormat="1" x14ac:dyDescent="0.25"/>
    <row r="1056" s="99" customFormat="1" x14ac:dyDescent="0.25"/>
    <row r="1057" s="99" customFormat="1" x14ac:dyDescent="0.25"/>
    <row r="1058" s="99" customFormat="1" x14ac:dyDescent="0.25"/>
    <row r="1059" s="99" customFormat="1" x14ac:dyDescent="0.25"/>
    <row r="1060" s="99" customFormat="1" x14ac:dyDescent="0.25"/>
    <row r="1061" s="99" customFormat="1" x14ac:dyDescent="0.25"/>
    <row r="1062" s="99" customFormat="1" x14ac:dyDescent="0.25"/>
    <row r="1063" s="99" customFormat="1" x14ac:dyDescent="0.25"/>
    <row r="1064" s="99" customFormat="1" x14ac:dyDescent="0.25"/>
    <row r="1065" s="99" customFormat="1" x14ac:dyDescent="0.25"/>
    <row r="1066" s="99" customFormat="1" x14ac:dyDescent="0.25"/>
    <row r="1067" s="99" customFormat="1" x14ac:dyDescent="0.25"/>
    <row r="1068" s="99" customFormat="1" x14ac:dyDescent="0.25"/>
    <row r="1069" s="99" customFormat="1" x14ac:dyDescent="0.25"/>
    <row r="1070" s="99" customFormat="1" x14ac:dyDescent="0.25"/>
    <row r="1071" s="99" customFormat="1" x14ac:dyDescent="0.25"/>
    <row r="1072" s="99" customFormat="1" x14ac:dyDescent="0.25"/>
    <row r="1073" s="99" customFormat="1" x14ac:dyDescent="0.25"/>
    <row r="1074" s="99" customFormat="1" x14ac:dyDescent="0.25"/>
    <row r="1075" s="99" customFormat="1" x14ac:dyDescent="0.25"/>
    <row r="1076" s="99" customFormat="1" x14ac:dyDescent="0.25"/>
    <row r="1077" s="99" customFormat="1" x14ac:dyDescent="0.25"/>
    <row r="1078" s="99" customFormat="1" x14ac:dyDescent="0.25"/>
    <row r="1079" s="99" customFormat="1" x14ac:dyDescent="0.25"/>
    <row r="1080" s="99" customFormat="1" x14ac:dyDescent="0.25"/>
    <row r="1081" s="99" customFormat="1" x14ac:dyDescent="0.25"/>
    <row r="1082" s="99" customFormat="1" x14ac:dyDescent="0.25"/>
    <row r="1083" s="99" customFormat="1" x14ac:dyDescent="0.25"/>
    <row r="1084" s="99" customFormat="1" x14ac:dyDescent="0.25"/>
    <row r="1085" s="99" customFormat="1" x14ac:dyDescent="0.25"/>
    <row r="1086" s="99" customFormat="1" x14ac:dyDescent="0.25"/>
    <row r="1087" s="99" customFormat="1" x14ac:dyDescent="0.25"/>
    <row r="1088" s="99" customFormat="1" x14ac:dyDescent="0.25"/>
    <row r="1089" s="99" customFormat="1" x14ac:dyDescent="0.25"/>
    <row r="1090" s="99" customFormat="1" x14ac:dyDescent="0.25"/>
    <row r="1091" s="99" customFormat="1" x14ac:dyDescent="0.25"/>
    <row r="1092" s="99" customFormat="1" x14ac:dyDescent="0.25"/>
    <row r="1093" s="99" customFormat="1" x14ac:dyDescent="0.25"/>
    <row r="1094" s="99" customFormat="1" x14ac:dyDescent="0.25"/>
    <row r="1095" s="99" customFormat="1" x14ac:dyDescent="0.25"/>
    <row r="1096" s="99" customFormat="1" x14ac:dyDescent="0.25"/>
    <row r="1097" s="99" customFormat="1" x14ac:dyDescent="0.25"/>
    <row r="1098" s="99" customFormat="1" x14ac:dyDescent="0.25"/>
    <row r="1099" s="99" customFormat="1" x14ac:dyDescent="0.25"/>
    <row r="1100" s="99" customFormat="1" x14ac:dyDescent="0.25"/>
    <row r="1101" s="99" customFormat="1" x14ac:dyDescent="0.25"/>
    <row r="1102" s="99" customFormat="1" x14ac:dyDescent="0.25"/>
    <row r="1103" s="99" customFormat="1" x14ac:dyDescent="0.25"/>
    <row r="1104" s="99" customFormat="1" x14ac:dyDescent="0.25"/>
    <row r="1105" s="99" customFormat="1" x14ac:dyDescent="0.25"/>
    <row r="1106" s="99" customFormat="1" x14ac:dyDescent="0.25"/>
    <row r="1107" s="99" customFormat="1" x14ac:dyDescent="0.25"/>
    <row r="1108" s="99" customFormat="1" x14ac:dyDescent="0.25"/>
    <row r="1109" s="99" customFormat="1" x14ac:dyDescent="0.25"/>
    <row r="1110" s="99" customFormat="1" x14ac:dyDescent="0.25"/>
    <row r="1111" s="99" customFormat="1" x14ac:dyDescent="0.25"/>
    <row r="1112" s="99" customFormat="1" x14ac:dyDescent="0.25"/>
    <row r="1113" s="99" customFormat="1" x14ac:dyDescent="0.25"/>
    <row r="1114" s="99" customFormat="1" x14ac:dyDescent="0.25"/>
    <row r="1115" s="99" customFormat="1" x14ac:dyDescent="0.25"/>
    <row r="1116" s="99" customFormat="1" x14ac:dyDescent="0.25"/>
    <row r="1117" s="99" customFormat="1" x14ac:dyDescent="0.25"/>
    <row r="1118" s="99" customFormat="1" x14ac:dyDescent="0.25"/>
    <row r="1119" s="99" customFormat="1" x14ac:dyDescent="0.25"/>
    <row r="1120" s="99" customFormat="1" x14ac:dyDescent="0.25"/>
    <row r="1121" s="99" customFormat="1" x14ac:dyDescent="0.25"/>
    <row r="1122" s="99" customFormat="1" x14ac:dyDescent="0.25"/>
    <row r="1123" s="99" customFormat="1" x14ac:dyDescent="0.25"/>
    <row r="1124" s="99" customFormat="1" x14ac:dyDescent="0.25"/>
    <row r="1125" s="99" customFormat="1" x14ac:dyDescent="0.25"/>
    <row r="1126" s="99" customFormat="1" x14ac:dyDescent="0.25"/>
    <row r="1127" s="99" customFormat="1" x14ac:dyDescent="0.25"/>
    <row r="1128" s="99" customFormat="1" x14ac:dyDescent="0.25"/>
    <row r="1129" s="99" customFormat="1" x14ac:dyDescent="0.25"/>
    <row r="1130" s="99" customFormat="1" x14ac:dyDescent="0.25"/>
    <row r="1131" s="99" customFormat="1" x14ac:dyDescent="0.25"/>
    <row r="1132" s="99" customFormat="1" x14ac:dyDescent="0.25"/>
    <row r="1133" s="99" customFormat="1" x14ac:dyDescent="0.25"/>
    <row r="1134" s="99" customFormat="1" x14ac:dyDescent="0.25"/>
    <row r="1135" s="99" customFormat="1" x14ac:dyDescent="0.25"/>
    <row r="1136" s="99" customFormat="1" x14ac:dyDescent="0.25"/>
    <row r="1137" s="99" customFormat="1" x14ac:dyDescent="0.25"/>
    <row r="1138" s="99" customFormat="1" x14ac:dyDescent="0.25"/>
    <row r="1139" s="99" customFormat="1" x14ac:dyDescent="0.25"/>
    <row r="1140" s="99" customFormat="1" x14ac:dyDescent="0.25"/>
    <row r="1141" s="99" customFormat="1" x14ac:dyDescent="0.25"/>
    <row r="1142" s="99" customFormat="1" x14ac:dyDescent="0.25"/>
    <row r="1143" s="99" customFormat="1" x14ac:dyDescent="0.25"/>
    <row r="1144" s="99" customFormat="1" x14ac:dyDescent="0.25"/>
    <row r="1145" s="99" customFormat="1" x14ac:dyDescent="0.25"/>
    <row r="1146" s="99" customFormat="1" x14ac:dyDescent="0.25"/>
    <row r="1147" s="99" customFormat="1" x14ac:dyDescent="0.25"/>
    <row r="1148" s="99" customFormat="1" x14ac:dyDescent="0.25"/>
    <row r="1149" s="99" customFormat="1" x14ac:dyDescent="0.25"/>
    <row r="1150" s="99" customFormat="1" x14ac:dyDescent="0.25"/>
    <row r="1151" s="99" customFormat="1" x14ac:dyDescent="0.25"/>
    <row r="1152" s="99" customFormat="1" x14ac:dyDescent="0.25"/>
    <row r="1153" s="99" customFormat="1" x14ac:dyDescent="0.25"/>
    <row r="1154" s="99" customFormat="1" x14ac:dyDescent="0.25"/>
    <row r="1155" s="99" customFormat="1" x14ac:dyDescent="0.25"/>
    <row r="1156" s="99" customFormat="1" x14ac:dyDescent="0.25"/>
    <row r="1157" s="99" customFormat="1" x14ac:dyDescent="0.25"/>
    <row r="1158" s="99" customFormat="1" x14ac:dyDescent="0.25"/>
    <row r="1159" s="99" customFormat="1" x14ac:dyDescent="0.25"/>
    <row r="1160" s="99" customFormat="1" x14ac:dyDescent="0.25"/>
    <row r="1161" s="99" customFormat="1" x14ac:dyDescent="0.25"/>
    <row r="1162" s="99" customFormat="1" x14ac:dyDescent="0.25"/>
    <row r="1163" s="99" customFormat="1" x14ac:dyDescent="0.25"/>
    <row r="1164" s="99" customFormat="1" x14ac:dyDescent="0.25"/>
    <row r="1165" s="99" customFormat="1" x14ac:dyDescent="0.25"/>
    <row r="1166" s="99" customFormat="1" x14ac:dyDescent="0.25"/>
    <row r="1167" s="99" customFormat="1" x14ac:dyDescent="0.25"/>
    <row r="1168" s="99" customFormat="1" x14ac:dyDescent="0.25"/>
    <row r="1169" s="99" customFormat="1" x14ac:dyDescent="0.25"/>
    <row r="1170" s="99" customFormat="1" x14ac:dyDescent="0.25"/>
    <row r="1171" s="99" customFormat="1" x14ac:dyDescent="0.25"/>
    <row r="1172" s="99" customFormat="1" x14ac:dyDescent="0.25"/>
    <row r="1173" s="99" customFormat="1" x14ac:dyDescent="0.25"/>
    <row r="1174" s="99" customFormat="1" x14ac:dyDescent="0.25"/>
    <row r="1175" s="99" customFormat="1" x14ac:dyDescent="0.25"/>
    <row r="1176" s="99" customFormat="1" x14ac:dyDescent="0.25"/>
    <row r="1177" s="99" customFormat="1" x14ac:dyDescent="0.25"/>
    <row r="1178" s="99" customFormat="1" x14ac:dyDescent="0.25"/>
    <row r="1179" s="99" customFormat="1" x14ac:dyDescent="0.25"/>
    <row r="1180" s="99" customFormat="1" x14ac:dyDescent="0.25"/>
    <row r="1181" s="99" customFormat="1" x14ac:dyDescent="0.25"/>
    <row r="1182" s="99" customFormat="1" x14ac:dyDescent="0.25"/>
    <row r="1183" s="99" customFormat="1" x14ac:dyDescent="0.25"/>
    <row r="1184" s="99" customFormat="1" x14ac:dyDescent="0.25"/>
    <row r="1185" s="99" customFormat="1" x14ac:dyDescent="0.25"/>
    <row r="1186" s="99" customFormat="1" x14ac:dyDescent="0.25"/>
    <row r="1187" s="99" customFormat="1" x14ac:dyDescent="0.25"/>
    <row r="1188" s="99" customFormat="1" x14ac:dyDescent="0.25"/>
    <row r="1189" s="99" customFormat="1" x14ac:dyDescent="0.25"/>
    <row r="1190" s="99" customFormat="1" x14ac:dyDescent="0.25"/>
    <row r="1191" s="99" customFormat="1" x14ac:dyDescent="0.25"/>
    <row r="1192" s="99" customFormat="1" x14ac:dyDescent="0.25"/>
    <row r="1193" s="99" customFormat="1" x14ac:dyDescent="0.25"/>
    <row r="1194" s="99" customFormat="1" x14ac:dyDescent="0.25"/>
    <row r="1195" s="99" customFormat="1" x14ac:dyDescent="0.25"/>
    <row r="1196" s="99" customFormat="1" x14ac:dyDescent="0.25"/>
    <row r="1197" s="99" customFormat="1" x14ac:dyDescent="0.25"/>
    <row r="1198" s="99" customFormat="1" x14ac:dyDescent="0.25"/>
    <row r="1199" s="99" customFormat="1" x14ac:dyDescent="0.25"/>
    <row r="1200" s="99" customFormat="1" x14ac:dyDescent="0.25"/>
    <row r="1201" s="99" customFormat="1" x14ac:dyDescent="0.25"/>
    <row r="1202" s="99" customFormat="1" x14ac:dyDescent="0.25"/>
    <row r="1203" s="99" customFormat="1" x14ac:dyDescent="0.25"/>
    <row r="1204" s="99" customFormat="1" x14ac:dyDescent="0.25"/>
    <row r="1205" s="99" customFormat="1" x14ac:dyDescent="0.25"/>
    <row r="1206" s="99" customFormat="1" x14ac:dyDescent="0.25"/>
    <row r="1207" s="99" customFormat="1" x14ac:dyDescent="0.25"/>
    <row r="1208" s="99" customFormat="1" x14ac:dyDescent="0.25"/>
    <row r="1209" s="99" customFormat="1" x14ac:dyDescent="0.25"/>
    <row r="1210" s="99" customFormat="1" x14ac:dyDescent="0.25"/>
    <row r="1211" s="99" customFormat="1" x14ac:dyDescent="0.25"/>
    <row r="1212" s="99" customFormat="1" x14ac:dyDescent="0.25"/>
    <row r="1213" s="99" customFormat="1" x14ac:dyDescent="0.25"/>
    <row r="1214" s="99" customFormat="1" x14ac:dyDescent="0.25"/>
    <row r="1215" s="99" customFormat="1" x14ac:dyDescent="0.25"/>
    <row r="1216" s="99" customFormat="1" x14ac:dyDescent="0.25"/>
    <row r="1217" s="99" customFormat="1" x14ac:dyDescent="0.25"/>
    <row r="1218" s="99" customFormat="1" x14ac:dyDescent="0.25"/>
    <row r="1219" s="99" customFormat="1" x14ac:dyDescent="0.25"/>
    <row r="1220" s="99" customFormat="1" x14ac:dyDescent="0.25"/>
    <row r="1221" s="99" customFormat="1" x14ac:dyDescent="0.25"/>
    <row r="1222" s="99" customFormat="1" x14ac:dyDescent="0.25"/>
    <row r="1223" s="99" customFormat="1" x14ac:dyDescent="0.25"/>
    <row r="1224" s="99" customFormat="1" x14ac:dyDescent="0.25"/>
    <row r="1225" s="99" customFormat="1" x14ac:dyDescent="0.25"/>
    <row r="1226" s="99" customFormat="1" x14ac:dyDescent="0.25"/>
    <row r="1227" s="99" customFormat="1" x14ac:dyDescent="0.25"/>
    <row r="1228" s="99" customFormat="1" x14ac:dyDescent="0.25"/>
    <row r="1229" s="99" customFormat="1" x14ac:dyDescent="0.25"/>
    <row r="1230" s="99" customFormat="1" x14ac:dyDescent="0.25"/>
    <row r="1231" s="99" customFormat="1" x14ac:dyDescent="0.25"/>
    <row r="1232" s="99" customFormat="1" x14ac:dyDescent="0.25"/>
    <row r="1233" s="99" customFormat="1" x14ac:dyDescent="0.25"/>
    <row r="1234" s="99" customFormat="1" x14ac:dyDescent="0.25"/>
    <row r="1235" s="99" customFormat="1" x14ac:dyDescent="0.25"/>
    <row r="1236" s="99" customFormat="1" x14ac:dyDescent="0.25"/>
    <row r="1237" s="99" customFormat="1" x14ac:dyDescent="0.25"/>
    <row r="1238" s="99" customFormat="1" x14ac:dyDescent="0.25"/>
    <row r="1239" s="99" customFormat="1" x14ac:dyDescent="0.25"/>
    <row r="1240" s="99" customFormat="1" x14ac:dyDescent="0.25"/>
    <row r="1241" s="99" customFormat="1" x14ac:dyDescent="0.25"/>
    <row r="1242" s="99" customFormat="1" x14ac:dyDescent="0.25"/>
    <row r="1243" s="99" customFormat="1" x14ac:dyDescent="0.25"/>
    <row r="1244" s="99" customFormat="1" x14ac:dyDescent="0.25"/>
    <row r="1245" s="99" customFormat="1" x14ac:dyDescent="0.25"/>
    <row r="1246" s="99" customFormat="1" x14ac:dyDescent="0.25"/>
    <row r="1247" s="99" customFormat="1" x14ac:dyDescent="0.25"/>
    <row r="1248" s="99" customFormat="1" x14ac:dyDescent="0.25"/>
    <row r="1249" s="99" customFormat="1" x14ac:dyDescent="0.25"/>
    <row r="1250" s="99" customFormat="1" x14ac:dyDescent="0.25"/>
    <row r="1251" s="99" customFormat="1" x14ac:dyDescent="0.25"/>
    <row r="1252" s="99" customFormat="1" x14ac:dyDescent="0.25"/>
    <row r="1253" s="99" customFormat="1" x14ac:dyDescent="0.25"/>
    <row r="1254" s="99" customFormat="1" x14ac:dyDescent="0.25"/>
    <row r="1255" s="99" customFormat="1" x14ac:dyDescent="0.25"/>
    <row r="1256" s="99" customFormat="1" x14ac:dyDescent="0.25"/>
    <row r="1257" s="99" customFormat="1" x14ac:dyDescent="0.25"/>
    <row r="1258" s="99" customFormat="1" x14ac:dyDescent="0.25"/>
    <row r="1259" s="99" customFormat="1" x14ac:dyDescent="0.25"/>
    <row r="1260" s="99" customFormat="1" x14ac:dyDescent="0.25"/>
    <row r="1261" s="99" customFormat="1" x14ac:dyDescent="0.25"/>
    <row r="1262" s="99" customFormat="1" x14ac:dyDescent="0.25"/>
    <row r="1263" s="99" customFormat="1" x14ac:dyDescent="0.25"/>
    <row r="1264" s="99" customFormat="1" x14ac:dyDescent="0.25"/>
    <row r="1265" s="99" customFormat="1" x14ac:dyDescent="0.25"/>
    <row r="1266" s="99" customFormat="1" x14ac:dyDescent="0.25"/>
    <row r="1267" s="99" customFormat="1" x14ac:dyDescent="0.25"/>
    <row r="1268" s="99" customFormat="1" x14ac:dyDescent="0.25"/>
    <row r="1269" s="99" customFormat="1" x14ac:dyDescent="0.25"/>
    <row r="1270" s="99" customFormat="1" x14ac:dyDescent="0.25"/>
    <row r="1271" s="99" customFormat="1" x14ac:dyDescent="0.25"/>
    <row r="1272" s="99" customFormat="1" x14ac:dyDescent="0.25"/>
    <row r="1273" s="99" customFormat="1" x14ac:dyDescent="0.25"/>
    <row r="1274" s="99" customFormat="1" x14ac:dyDescent="0.25"/>
    <row r="1275" s="99" customFormat="1" x14ac:dyDescent="0.25"/>
    <row r="1276" s="99" customFormat="1" x14ac:dyDescent="0.25"/>
    <row r="1277" s="99" customFormat="1" x14ac:dyDescent="0.25"/>
    <row r="1278" s="99" customFormat="1" x14ac:dyDescent="0.25"/>
    <row r="1279" s="99" customFormat="1" x14ac:dyDescent="0.25"/>
    <row r="1280" s="99" customFormat="1" x14ac:dyDescent="0.25"/>
    <row r="1281" s="99" customFormat="1" x14ac:dyDescent="0.25"/>
    <row r="1282" s="99" customFormat="1" x14ac:dyDescent="0.25"/>
    <row r="1283" s="99" customFormat="1" x14ac:dyDescent="0.25"/>
    <row r="1284" s="99" customFormat="1" x14ac:dyDescent="0.25"/>
    <row r="1285" s="99" customFormat="1" x14ac:dyDescent="0.25"/>
    <row r="1286" s="99" customFormat="1" x14ac:dyDescent="0.25"/>
    <row r="1287" s="99" customFormat="1" x14ac:dyDescent="0.25"/>
    <row r="1288" s="99" customFormat="1" x14ac:dyDescent="0.25"/>
    <row r="1289" s="99" customFormat="1" x14ac:dyDescent="0.25"/>
    <row r="1290" s="99" customFormat="1" x14ac:dyDescent="0.25"/>
    <row r="1291" s="99" customFormat="1" x14ac:dyDescent="0.25"/>
    <row r="1292" s="99" customFormat="1" x14ac:dyDescent="0.25"/>
    <row r="1293" s="99" customFormat="1" x14ac:dyDescent="0.25"/>
    <row r="1294" s="99" customFormat="1" x14ac:dyDescent="0.25"/>
    <row r="1295" s="99" customFormat="1" x14ac:dyDescent="0.25"/>
    <row r="1296" s="99" customFormat="1" x14ac:dyDescent="0.25"/>
    <row r="1297" s="99" customFormat="1" x14ac:dyDescent="0.25"/>
    <row r="1298" s="99" customFormat="1" x14ac:dyDescent="0.25"/>
    <row r="1299" s="99" customFormat="1" x14ac:dyDescent="0.25"/>
    <row r="1300" s="99" customFormat="1" x14ac:dyDescent="0.25"/>
    <row r="1301" s="99" customFormat="1" x14ac:dyDescent="0.25"/>
    <row r="1302" s="99" customFormat="1" x14ac:dyDescent="0.25"/>
    <row r="1303" s="99" customFormat="1" x14ac:dyDescent="0.25"/>
    <row r="1304" s="99" customFormat="1" x14ac:dyDescent="0.25"/>
    <row r="1305" s="99" customFormat="1" x14ac:dyDescent="0.25"/>
    <row r="1306" s="99" customFormat="1" x14ac:dyDescent="0.25"/>
    <row r="1307" s="99" customFormat="1" x14ac:dyDescent="0.25"/>
    <row r="1308" s="99" customFormat="1" x14ac:dyDescent="0.25"/>
    <row r="1309" s="99" customFormat="1" x14ac:dyDescent="0.25"/>
    <row r="1310" s="99" customFormat="1" x14ac:dyDescent="0.25"/>
    <row r="1311" s="99" customFormat="1" x14ac:dyDescent="0.25"/>
    <row r="1312" s="99" customFormat="1" x14ac:dyDescent="0.25"/>
    <row r="1313" s="99" customFormat="1" x14ac:dyDescent="0.25"/>
    <row r="1314" s="99" customFormat="1" x14ac:dyDescent="0.25"/>
    <row r="1315" s="99" customFormat="1" x14ac:dyDescent="0.25"/>
    <row r="1316" s="99" customFormat="1" x14ac:dyDescent="0.25"/>
    <row r="1317" s="99" customFormat="1" x14ac:dyDescent="0.25"/>
    <row r="1318" s="99" customFormat="1" x14ac:dyDescent="0.25"/>
    <row r="1319" s="99" customFormat="1" x14ac:dyDescent="0.25"/>
    <row r="1320" s="99" customFormat="1" x14ac:dyDescent="0.25"/>
    <row r="1321" s="99" customFormat="1" x14ac:dyDescent="0.25"/>
    <row r="1322" s="99" customFormat="1" x14ac:dyDescent="0.25"/>
    <row r="1323" s="99" customFormat="1" x14ac:dyDescent="0.25"/>
    <row r="1324" s="99" customFormat="1" x14ac:dyDescent="0.25"/>
    <row r="1325" s="99" customFormat="1" x14ac:dyDescent="0.25"/>
    <row r="1326" s="99" customFormat="1" x14ac:dyDescent="0.25"/>
    <row r="1327" s="99" customFormat="1" x14ac:dyDescent="0.25"/>
    <row r="1328" s="99" customFormat="1" x14ac:dyDescent="0.25"/>
    <row r="1329" s="99" customFormat="1" x14ac:dyDescent="0.25"/>
    <row r="1330" s="99" customFormat="1" x14ac:dyDescent="0.25"/>
    <row r="1331" s="99" customFormat="1" x14ac:dyDescent="0.25"/>
    <row r="1332" s="99" customFormat="1" x14ac:dyDescent="0.25"/>
    <row r="1333" s="99" customFormat="1" x14ac:dyDescent="0.25"/>
    <row r="1334" s="99" customFormat="1" x14ac:dyDescent="0.25"/>
    <row r="1335" s="99" customFormat="1" x14ac:dyDescent="0.25"/>
    <row r="1336" s="99" customFormat="1" x14ac:dyDescent="0.25"/>
    <row r="1337" s="99" customFormat="1" x14ac:dyDescent="0.25"/>
    <row r="1338" s="99" customFormat="1" x14ac:dyDescent="0.25"/>
    <row r="1339" s="99" customFormat="1" x14ac:dyDescent="0.25"/>
    <row r="1340" s="99" customFormat="1" x14ac:dyDescent="0.25"/>
    <row r="1341" s="99" customFormat="1" x14ac:dyDescent="0.25"/>
    <row r="1342" s="99" customFormat="1" x14ac:dyDescent="0.25"/>
    <row r="1343" s="99" customFormat="1" x14ac:dyDescent="0.25"/>
    <row r="1344" s="99" customFormat="1" x14ac:dyDescent="0.25"/>
    <row r="1345" s="99" customFormat="1" x14ac:dyDescent="0.25"/>
    <row r="1346" s="99" customFormat="1" x14ac:dyDescent="0.25"/>
    <row r="1347" s="99" customFormat="1" x14ac:dyDescent="0.25"/>
    <row r="1348" s="99" customFormat="1" x14ac:dyDescent="0.25"/>
    <row r="1349" s="99" customFormat="1" x14ac:dyDescent="0.25"/>
    <row r="1350" s="99" customFormat="1" x14ac:dyDescent="0.25"/>
    <row r="1351" s="99" customFormat="1" x14ac:dyDescent="0.25"/>
    <row r="1352" s="99" customFormat="1" x14ac:dyDescent="0.25"/>
    <row r="1353" s="99" customFormat="1" x14ac:dyDescent="0.25"/>
    <row r="1354" s="99" customFormat="1" x14ac:dyDescent="0.25"/>
    <row r="1355" s="99" customFormat="1" x14ac:dyDescent="0.25"/>
    <row r="1356" s="99" customFormat="1" x14ac:dyDescent="0.25"/>
    <row r="1357" s="99" customFormat="1" x14ac:dyDescent="0.25"/>
    <row r="1358" s="99" customFormat="1" x14ac:dyDescent="0.25"/>
    <row r="1359" s="99" customFormat="1" x14ac:dyDescent="0.25"/>
    <row r="1360" s="99" customFormat="1" x14ac:dyDescent="0.25"/>
    <row r="1361" s="99" customFormat="1" x14ac:dyDescent="0.25"/>
    <row r="1362" s="99" customFormat="1" x14ac:dyDescent="0.25"/>
    <row r="1363" s="99" customFormat="1" x14ac:dyDescent="0.25"/>
    <row r="1364" s="99" customFormat="1" x14ac:dyDescent="0.25"/>
    <row r="1365" s="99" customFormat="1" x14ac:dyDescent="0.25"/>
    <row r="1366" s="99" customFormat="1" x14ac:dyDescent="0.25"/>
    <row r="1367" s="99" customFormat="1" x14ac:dyDescent="0.25"/>
    <row r="1368" s="99" customFormat="1" x14ac:dyDescent="0.25"/>
    <row r="1369" s="99" customFormat="1" x14ac:dyDescent="0.25"/>
    <row r="1370" s="99" customFormat="1" x14ac:dyDescent="0.25"/>
    <row r="1371" s="99" customFormat="1" x14ac:dyDescent="0.25"/>
    <row r="1372" s="99" customFormat="1" x14ac:dyDescent="0.25"/>
    <row r="1373" s="99" customFormat="1" x14ac:dyDescent="0.25"/>
    <row r="1374" s="99" customFormat="1" x14ac:dyDescent="0.25"/>
    <row r="1375" s="99" customFormat="1" x14ac:dyDescent="0.25"/>
    <row r="1376" s="99" customFormat="1" x14ac:dyDescent="0.25"/>
    <row r="1377" s="99" customFormat="1" x14ac:dyDescent="0.25"/>
    <row r="1378" s="99" customFormat="1" x14ac:dyDescent="0.25"/>
    <row r="1379" s="99" customFormat="1" x14ac:dyDescent="0.25"/>
    <row r="1380" s="99" customFormat="1" x14ac:dyDescent="0.25"/>
    <row r="1381" s="99" customFormat="1" x14ac:dyDescent="0.25"/>
    <row r="1382" s="99" customFormat="1" x14ac:dyDescent="0.25"/>
    <row r="1383" s="99" customFormat="1" x14ac:dyDescent="0.25"/>
    <row r="1384" s="99" customFormat="1" x14ac:dyDescent="0.25"/>
    <row r="1385" s="99" customFormat="1" x14ac:dyDescent="0.25"/>
    <row r="1386" s="99" customFormat="1" x14ac:dyDescent="0.25"/>
    <row r="1387" s="99" customFormat="1" x14ac:dyDescent="0.25"/>
    <row r="1388" s="99" customFormat="1" x14ac:dyDescent="0.25"/>
    <row r="1389" s="99" customFormat="1" x14ac:dyDescent="0.25"/>
    <row r="1390" s="99" customFormat="1" x14ac:dyDescent="0.25"/>
    <row r="1391" s="99" customFormat="1" x14ac:dyDescent="0.25"/>
    <row r="1392" s="99" customFormat="1" x14ac:dyDescent="0.25"/>
    <row r="1393" s="99" customFormat="1" x14ac:dyDescent="0.25"/>
    <row r="1394" s="99" customFormat="1" x14ac:dyDescent="0.25"/>
    <row r="1395" s="99" customFormat="1" x14ac:dyDescent="0.25"/>
    <row r="1396" s="99" customFormat="1" x14ac:dyDescent="0.25"/>
    <row r="1397" s="99" customFormat="1" x14ac:dyDescent="0.25"/>
    <row r="1398" s="99" customFormat="1" x14ac:dyDescent="0.25"/>
    <row r="1399" s="99" customFormat="1" x14ac:dyDescent="0.25"/>
    <row r="1400" s="99" customFormat="1" x14ac:dyDescent="0.25"/>
    <row r="1401" s="99" customFormat="1" x14ac:dyDescent="0.25"/>
    <row r="1402" s="99" customFormat="1" x14ac:dyDescent="0.25"/>
    <row r="1403" s="99" customFormat="1" x14ac:dyDescent="0.25"/>
    <row r="1404" s="99" customFormat="1" x14ac:dyDescent="0.25"/>
    <row r="1405" s="99" customFormat="1" x14ac:dyDescent="0.25"/>
    <row r="1406" s="99" customFormat="1" x14ac:dyDescent="0.25"/>
    <row r="1407" s="99" customFormat="1" x14ac:dyDescent="0.25"/>
    <row r="1408" s="99" customFormat="1" x14ac:dyDescent="0.25"/>
    <row r="1409" s="99" customFormat="1" x14ac:dyDescent="0.25"/>
    <row r="1410" s="99" customFormat="1" x14ac:dyDescent="0.25"/>
    <row r="1411" s="99" customFormat="1" x14ac:dyDescent="0.25"/>
    <row r="1412" s="99" customFormat="1" x14ac:dyDescent="0.25"/>
    <row r="1413" s="99" customFormat="1" x14ac:dyDescent="0.25"/>
    <row r="1414" s="99" customFormat="1" x14ac:dyDescent="0.25"/>
    <row r="1415" s="99" customFormat="1" x14ac:dyDescent="0.25"/>
    <row r="1416" s="99" customFormat="1" x14ac:dyDescent="0.25"/>
    <row r="1417" s="99" customFormat="1" x14ac:dyDescent="0.25"/>
    <row r="1418" s="99" customFormat="1" x14ac:dyDescent="0.25"/>
    <row r="1419" s="99" customFormat="1" x14ac:dyDescent="0.25"/>
    <row r="1420" s="99" customFormat="1" x14ac:dyDescent="0.25"/>
    <row r="1421" s="99" customFormat="1" x14ac:dyDescent="0.25"/>
    <row r="1422" s="99" customFormat="1" x14ac:dyDescent="0.25"/>
    <row r="1423" s="99" customFormat="1" x14ac:dyDescent="0.25"/>
    <row r="1424" s="99" customFormat="1" x14ac:dyDescent="0.25"/>
    <row r="1425" s="99" customFormat="1" x14ac:dyDescent="0.25"/>
    <row r="1426" s="99" customFormat="1" x14ac:dyDescent="0.25"/>
    <row r="1427" s="99" customFormat="1" x14ac:dyDescent="0.25"/>
    <row r="1428" s="99" customFormat="1" x14ac:dyDescent="0.25"/>
    <row r="1429" s="99" customFormat="1" x14ac:dyDescent="0.25"/>
    <row r="1430" s="99" customFormat="1" x14ac:dyDescent="0.25"/>
    <row r="1431" s="99" customFormat="1" x14ac:dyDescent="0.25"/>
    <row r="1432" s="99" customFormat="1" x14ac:dyDescent="0.25"/>
    <row r="1433" s="99" customFormat="1" x14ac:dyDescent="0.25"/>
    <row r="1434" s="99" customFormat="1" x14ac:dyDescent="0.25"/>
    <row r="1435" s="99" customFormat="1" x14ac:dyDescent="0.25"/>
    <row r="1436" s="99" customFormat="1" x14ac:dyDescent="0.25"/>
    <row r="1437" s="99" customFormat="1" x14ac:dyDescent="0.25"/>
    <row r="1438" s="99" customFormat="1" x14ac:dyDescent="0.25"/>
    <row r="1439" s="99" customFormat="1" x14ac:dyDescent="0.25"/>
    <row r="1440" s="99" customFormat="1" x14ac:dyDescent="0.25"/>
    <row r="1441" s="99" customFormat="1" x14ac:dyDescent="0.25"/>
    <row r="1442" s="99" customFormat="1" x14ac:dyDescent="0.25"/>
    <row r="1443" s="99" customFormat="1" x14ac:dyDescent="0.25"/>
    <row r="1444" s="99" customFormat="1" x14ac:dyDescent="0.25"/>
    <row r="1445" s="99" customFormat="1" x14ac:dyDescent="0.25"/>
    <row r="1446" s="99" customFormat="1" x14ac:dyDescent="0.25"/>
    <row r="1447" s="99" customFormat="1" x14ac:dyDescent="0.25"/>
    <row r="1448" s="99" customFormat="1" x14ac:dyDescent="0.25"/>
    <row r="1449" s="99" customFormat="1" x14ac:dyDescent="0.25"/>
    <row r="1450" s="99" customFormat="1" x14ac:dyDescent="0.25"/>
    <row r="1451" s="99" customFormat="1" x14ac:dyDescent="0.25"/>
    <row r="1452" s="99" customFormat="1" x14ac:dyDescent="0.25"/>
    <row r="1453" s="99" customFormat="1" x14ac:dyDescent="0.25"/>
    <row r="1454" s="99" customFormat="1" x14ac:dyDescent="0.25"/>
    <row r="1455" s="99" customFormat="1" x14ac:dyDescent="0.25"/>
    <row r="1456" s="99" customFormat="1" x14ac:dyDescent="0.25"/>
    <row r="1457" s="99" customFormat="1" x14ac:dyDescent="0.25"/>
    <row r="1458" s="99" customFormat="1" x14ac:dyDescent="0.25"/>
    <row r="1459" s="99" customFormat="1" x14ac:dyDescent="0.25"/>
    <row r="1460" s="99" customFormat="1" x14ac:dyDescent="0.25"/>
    <row r="1461" s="99" customFormat="1" x14ac:dyDescent="0.25"/>
    <row r="1462" s="99" customFormat="1" x14ac:dyDescent="0.25"/>
    <row r="1463" s="99" customFormat="1" x14ac:dyDescent="0.25"/>
    <row r="1464" s="99" customFormat="1" x14ac:dyDescent="0.25"/>
    <row r="1465" s="99" customFormat="1" x14ac:dyDescent="0.25"/>
    <row r="1466" s="99" customFormat="1" x14ac:dyDescent="0.25"/>
    <row r="1467" s="99" customFormat="1" x14ac:dyDescent="0.25"/>
    <row r="1468" s="99" customFormat="1" x14ac:dyDescent="0.25"/>
    <row r="1469" s="99" customFormat="1" x14ac:dyDescent="0.25"/>
    <row r="1470" s="99" customFormat="1" x14ac:dyDescent="0.25"/>
    <row r="1471" s="99" customFormat="1" x14ac:dyDescent="0.25"/>
    <row r="1472" s="99" customFormat="1" x14ac:dyDescent="0.25"/>
    <row r="1473" s="99" customFormat="1" x14ac:dyDescent="0.25"/>
    <row r="1474" s="99" customFormat="1" x14ac:dyDescent="0.25"/>
    <row r="1475" s="99" customFormat="1" x14ac:dyDescent="0.25"/>
    <row r="1476" s="99" customFormat="1" x14ac:dyDescent="0.25"/>
    <row r="1477" s="99" customFormat="1" x14ac:dyDescent="0.25"/>
    <row r="1478" s="99" customFormat="1" x14ac:dyDescent="0.25"/>
    <row r="1479" s="99" customFormat="1" x14ac:dyDescent="0.25"/>
    <row r="1480" s="99" customFormat="1" x14ac:dyDescent="0.25"/>
    <row r="1481" s="99" customFormat="1" x14ac:dyDescent="0.25"/>
    <row r="1482" s="99" customFormat="1" x14ac:dyDescent="0.25"/>
    <row r="1483" s="99" customFormat="1" x14ac:dyDescent="0.25"/>
    <row r="1484" s="99" customFormat="1" x14ac:dyDescent="0.25"/>
    <row r="1485" s="99" customFormat="1" x14ac:dyDescent="0.25"/>
    <row r="1486" s="99" customFormat="1" x14ac:dyDescent="0.25"/>
    <row r="1487" s="99" customFormat="1" x14ac:dyDescent="0.25"/>
    <row r="1488" s="99" customFormat="1" x14ac:dyDescent="0.25"/>
    <row r="1489" s="99" customFormat="1" x14ac:dyDescent="0.25"/>
    <row r="1490" s="99" customFormat="1" x14ac:dyDescent="0.25"/>
    <row r="1491" s="99" customFormat="1" x14ac:dyDescent="0.25"/>
    <row r="1492" s="99" customFormat="1" x14ac:dyDescent="0.25"/>
    <row r="1493" s="99" customFormat="1" x14ac:dyDescent="0.25"/>
    <row r="1494" s="99" customFormat="1" x14ac:dyDescent="0.25"/>
    <row r="1495" s="99" customFormat="1" x14ac:dyDescent="0.25"/>
    <row r="1496" s="99" customFormat="1" x14ac:dyDescent="0.25"/>
    <row r="1497" s="99" customFormat="1" x14ac:dyDescent="0.25"/>
    <row r="1498" s="99" customFormat="1" x14ac:dyDescent="0.25"/>
    <row r="1499" s="99" customFormat="1" x14ac:dyDescent="0.25"/>
    <row r="1500" s="99" customFormat="1" x14ac:dyDescent="0.25"/>
    <row r="1501" s="99" customFormat="1" x14ac:dyDescent="0.25"/>
    <row r="1502" s="99" customFormat="1" x14ac:dyDescent="0.25"/>
    <row r="1503" s="99" customFormat="1" x14ac:dyDescent="0.25"/>
    <row r="1504" s="99" customFormat="1" x14ac:dyDescent="0.25"/>
    <row r="1505" s="99" customFormat="1" x14ac:dyDescent="0.25"/>
    <row r="1506" s="99" customFormat="1" x14ac:dyDescent="0.25"/>
    <row r="1507" s="99" customFormat="1" x14ac:dyDescent="0.25"/>
    <row r="1508" s="99" customFormat="1" x14ac:dyDescent="0.25"/>
    <row r="1509" s="99" customFormat="1" x14ac:dyDescent="0.25"/>
    <row r="1510" s="99" customFormat="1" x14ac:dyDescent="0.25"/>
    <row r="1511" s="99" customFormat="1" x14ac:dyDescent="0.25"/>
    <row r="1512" s="99" customFormat="1" x14ac:dyDescent="0.25"/>
    <row r="1513" s="99" customFormat="1" x14ac:dyDescent="0.25"/>
    <row r="1514" s="99" customFormat="1" x14ac:dyDescent="0.25"/>
    <row r="1515" s="99" customFormat="1" x14ac:dyDescent="0.25"/>
    <row r="1516" s="99" customFormat="1" x14ac:dyDescent="0.25"/>
    <row r="1517" s="99" customFormat="1" x14ac:dyDescent="0.25"/>
    <row r="1518" s="99" customFormat="1" x14ac:dyDescent="0.25"/>
    <row r="1519" s="99" customFormat="1" x14ac:dyDescent="0.25"/>
    <row r="1520" s="99" customFormat="1" x14ac:dyDescent="0.25"/>
    <row r="1521" s="99" customFormat="1" x14ac:dyDescent="0.25"/>
    <row r="1522" s="99" customFormat="1" x14ac:dyDescent="0.25"/>
    <row r="1523" s="99" customFormat="1" x14ac:dyDescent="0.25"/>
    <row r="1524" s="99" customFormat="1" x14ac:dyDescent="0.25"/>
    <row r="1525" s="99" customFormat="1" x14ac:dyDescent="0.25"/>
    <row r="1526" s="99" customFormat="1" x14ac:dyDescent="0.25"/>
    <row r="1527" s="99" customFormat="1" x14ac:dyDescent="0.25"/>
    <row r="1528" s="99" customFormat="1" x14ac:dyDescent="0.25"/>
    <row r="1529" s="99" customFormat="1" x14ac:dyDescent="0.25"/>
    <row r="1530" s="99" customFormat="1" x14ac:dyDescent="0.25"/>
    <row r="1531" s="99" customFormat="1" x14ac:dyDescent="0.25"/>
    <row r="1532" s="99" customFormat="1" x14ac:dyDescent="0.25"/>
    <row r="1533" s="99" customFormat="1" x14ac:dyDescent="0.25"/>
    <row r="1534" s="99" customFormat="1" x14ac:dyDescent="0.25"/>
    <row r="1535" s="99" customFormat="1" x14ac:dyDescent="0.25"/>
    <row r="1536" s="99" customFormat="1" x14ac:dyDescent="0.25"/>
    <row r="1537" s="99" customFormat="1" x14ac:dyDescent="0.25"/>
    <row r="1538" s="99" customFormat="1" x14ac:dyDescent="0.25"/>
    <row r="1539" s="99" customFormat="1" x14ac:dyDescent="0.25"/>
    <row r="1540" s="99" customFormat="1" x14ac:dyDescent="0.25"/>
    <row r="1541" s="99" customFormat="1" x14ac:dyDescent="0.25"/>
    <row r="1542" s="99" customFormat="1" x14ac:dyDescent="0.25"/>
    <row r="1543" s="99" customFormat="1" x14ac:dyDescent="0.25"/>
    <row r="1544" s="99" customFormat="1" x14ac:dyDescent="0.25"/>
    <row r="1545" s="99" customFormat="1" x14ac:dyDescent="0.25"/>
    <row r="1546" s="99" customFormat="1" x14ac:dyDescent="0.25"/>
    <row r="1547" s="99" customFormat="1" x14ac:dyDescent="0.25"/>
    <row r="1548" s="99" customFormat="1" x14ac:dyDescent="0.25"/>
    <row r="1549" s="99" customFormat="1" x14ac:dyDescent="0.25"/>
    <row r="1550" s="99" customFormat="1" x14ac:dyDescent="0.25"/>
    <row r="1551" s="99" customFormat="1" x14ac:dyDescent="0.25"/>
    <row r="1552" s="99" customFormat="1" x14ac:dyDescent="0.25"/>
    <row r="1553" s="99" customFormat="1" x14ac:dyDescent="0.25"/>
    <row r="1554" s="99" customFormat="1" x14ac:dyDescent="0.25"/>
    <row r="1555" s="99" customFormat="1" x14ac:dyDescent="0.25"/>
    <row r="1556" s="99" customFormat="1" x14ac:dyDescent="0.25"/>
    <row r="1557" s="99" customFormat="1" x14ac:dyDescent="0.25"/>
    <row r="1558" s="99" customFormat="1" x14ac:dyDescent="0.25"/>
    <row r="1559" s="99" customFormat="1" x14ac:dyDescent="0.25"/>
    <row r="1560" s="99" customFormat="1" x14ac:dyDescent="0.25"/>
    <row r="1561" s="99" customFormat="1" x14ac:dyDescent="0.25"/>
    <row r="1562" s="99" customFormat="1" x14ac:dyDescent="0.25"/>
    <row r="1563" s="99" customFormat="1" x14ac:dyDescent="0.25"/>
    <row r="1564" s="99" customFormat="1" x14ac:dyDescent="0.25"/>
    <row r="1565" s="99" customFormat="1" x14ac:dyDescent="0.25"/>
    <row r="1566" s="99" customFormat="1" x14ac:dyDescent="0.25"/>
    <row r="1567" s="99" customFormat="1" x14ac:dyDescent="0.25"/>
    <row r="1568" s="99" customFormat="1" x14ac:dyDescent="0.25"/>
    <row r="1569" s="99" customFormat="1" x14ac:dyDescent="0.25"/>
    <row r="1570" s="99" customFormat="1" x14ac:dyDescent="0.25"/>
    <row r="1571" s="99" customFormat="1" x14ac:dyDescent="0.25"/>
    <row r="1572" s="99" customFormat="1" x14ac:dyDescent="0.25"/>
    <row r="1573" s="99" customFormat="1" x14ac:dyDescent="0.25"/>
    <row r="1574" s="99" customFormat="1" x14ac:dyDescent="0.25"/>
    <row r="1575" s="99" customFormat="1" x14ac:dyDescent="0.25"/>
    <row r="1576" s="99" customFormat="1" x14ac:dyDescent="0.25"/>
    <row r="1577" s="99" customFormat="1" x14ac:dyDescent="0.25"/>
    <row r="1578" s="99" customFormat="1" x14ac:dyDescent="0.25"/>
    <row r="1579" s="99" customFormat="1" x14ac:dyDescent="0.25"/>
    <row r="1580" s="99" customFormat="1" x14ac:dyDescent="0.25"/>
    <row r="1581" s="99" customFormat="1" x14ac:dyDescent="0.25"/>
    <row r="1582" s="99" customFormat="1" x14ac:dyDescent="0.25"/>
    <row r="1583" s="99" customFormat="1" x14ac:dyDescent="0.25"/>
    <row r="1584" s="99" customFormat="1" x14ac:dyDescent="0.25"/>
    <row r="1585" s="99" customFormat="1" x14ac:dyDescent="0.25"/>
    <row r="1586" s="99" customFormat="1" x14ac:dyDescent="0.25"/>
    <row r="1587" s="99" customFormat="1" x14ac:dyDescent="0.25"/>
    <row r="1588" s="99" customFormat="1" x14ac:dyDescent="0.25"/>
    <row r="1589" s="99" customFormat="1" x14ac:dyDescent="0.25"/>
    <row r="1590" s="99" customFormat="1" x14ac:dyDescent="0.25"/>
    <row r="1591" s="99" customFormat="1" x14ac:dyDescent="0.25"/>
    <row r="1592" s="99" customFormat="1" x14ac:dyDescent="0.25"/>
    <row r="1593" s="99" customFormat="1" x14ac:dyDescent="0.25"/>
    <row r="1594" s="99" customFormat="1" x14ac:dyDescent="0.25"/>
    <row r="1595" s="99" customFormat="1" x14ac:dyDescent="0.25"/>
    <row r="1596" s="99" customFormat="1" x14ac:dyDescent="0.25"/>
    <row r="1597" s="99" customFormat="1" x14ac:dyDescent="0.25"/>
    <row r="1598" s="99" customFormat="1" x14ac:dyDescent="0.25"/>
    <row r="1599" s="99" customFormat="1" x14ac:dyDescent="0.25"/>
    <row r="1600" s="99" customFormat="1" x14ac:dyDescent="0.25"/>
    <row r="1601" s="99" customFormat="1" x14ac:dyDescent="0.25"/>
    <row r="1602" s="99" customFormat="1" x14ac:dyDescent="0.25"/>
    <row r="1603" s="99" customFormat="1" x14ac:dyDescent="0.25"/>
    <row r="1604" s="99" customFormat="1" x14ac:dyDescent="0.25"/>
    <row r="1605" s="99" customFormat="1" x14ac:dyDescent="0.25"/>
    <row r="1606" s="99" customFormat="1" x14ac:dyDescent="0.25"/>
    <row r="1607" s="99" customFormat="1" x14ac:dyDescent="0.25"/>
    <row r="1608" s="99" customFormat="1" x14ac:dyDescent="0.25"/>
    <row r="1609" s="99" customFormat="1" x14ac:dyDescent="0.25"/>
    <row r="1610" s="99" customFormat="1" x14ac:dyDescent="0.25"/>
    <row r="1611" s="99" customFormat="1" x14ac:dyDescent="0.25"/>
    <row r="1612" s="99" customFormat="1" x14ac:dyDescent="0.25"/>
    <row r="1613" s="99" customFormat="1" x14ac:dyDescent="0.25"/>
    <row r="1614" s="99" customFormat="1" x14ac:dyDescent="0.25"/>
    <row r="1615" s="99" customFormat="1" x14ac:dyDescent="0.25"/>
    <row r="1616" s="99" customFormat="1" x14ac:dyDescent="0.25"/>
    <row r="1617" s="99" customFormat="1" x14ac:dyDescent="0.25"/>
    <row r="1618" s="99" customFormat="1" x14ac:dyDescent="0.25"/>
    <row r="1619" s="99" customFormat="1" x14ac:dyDescent="0.25"/>
    <row r="1620" s="99" customFormat="1" x14ac:dyDescent="0.25"/>
    <row r="1621" s="99" customFormat="1" x14ac:dyDescent="0.25"/>
    <row r="1622" s="99" customFormat="1" x14ac:dyDescent="0.25"/>
    <row r="1623" s="99" customFormat="1" x14ac:dyDescent="0.25"/>
    <row r="1624" s="99" customFormat="1" x14ac:dyDescent="0.25"/>
    <row r="1625" s="99" customFormat="1" x14ac:dyDescent="0.25"/>
    <row r="1626" s="99" customFormat="1" x14ac:dyDescent="0.25"/>
    <row r="1627" s="99" customFormat="1" x14ac:dyDescent="0.25"/>
    <row r="1628" s="99" customFormat="1" x14ac:dyDescent="0.25"/>
    <row r="1629" s="99" customFormat="1" x14ac:dyDescent="0.25"/>
    <row r="1630" s="99" customFormat="1" x14ac:dyDescent="0.25"/>
    <row r="1631" s="99" customFormat="1" x14ac:dyDescent="0.25"/>
    <row r="1632" s="99" customFormat="1" x14ac:dyDescent="0.25"/>
    <row r="1633" s="99" customFormat="1" x14ac:dyDescent="0.25"/>
    <row r="1634" s="99" customFormat="1" x14ac:dyDescent="0.25"/>
    <row r="1635" s="99" customFormat="1" x14ac:dyDescent="0.25"/>
    <row r="1636" s="99" customFormat="1" x14ac:dyDescent="0.25"/>
    <row r="1637" s="99" customFormat="1" x14ac:dyDescent="0.25"/>
    <row r="1638" s="99" customFormat="1" x14ac:dyDescent="0.25"/>
    <row r="1639" s="99" customFormat="1" x14ac:dyDescent="0.25"/>
    <row r="1640" s="99" customFormat="1" x14ac:dyDescent="0.25"/>
    <row r="1641" s="99" customFormat="1" x14ac:dyDescent="0.25"/>
    <row r="1642" s="99" customFormat="1" x14ac:dyDescent="0.25"/>
    <row r="1643" s="99" customFormat="1" x14ac:dyDescent="0.25"/>
    <row r="1644" s="99" customFormat="1" x14ac:dyDescent="0.25"/>
    <row r="1645" s="99" customFormat="1" x14ac:dyDescent="0.25"/>
    <row r="1646" s="99" customFormat="1" x14ac:dyDescent="0.25"/>
    <row r="1647" s="99" customFormat="1" x14ac:dyDescent="0.25"/>
    <row r="1648" s="99" customFormat="1" x14ac:dyDescent="0.25"/>
    <row r="1649" s="99" customFormat="1" x14ac:dyDescent="0.25"/>
    <row r="1650" s="99" customFormat="1" x14ac:dyDescent="0.25"/>
    <row r="1651" s="99" customFormat="1" x14ac:dyDescent="0.25"/>
    <row r="1652" s="99" customFormat="1" x14ac:dyDescent="0.25"/>
    <row r="1653" s="99" customFormat="1" x14ac:dyDescent="0.25"/>
    <row r="1654" s="99" customFormat="1" x14ac:dyDescent="0.25"/>
    <row r="1655" s="99" customFormat="1" x14ac:dyDescent="0.25"/>
    <row r="1656" s="99" customFormat="1" x14ac:dyDescent="0.25"/>
    <row r="1657" s="99" customFormat="1" x14ac:dyDescent="0.25"/>
    <row r="1658" s="99" customFormat="1" x14ac:dyDescent="0.25"/>
    <row r="1659" s="99" customFormat="1" x14ac:dyDescent="0.25"/>
    <row r="1660" s="99" customFormat="1" x14ac:dyDescent="0.25"/>
    <row r="1661" s="99" customFormat="1" x14ac:dyDescent="0.25"/>
    <row r="1662" s="99" customFormat="1" x14ac:dyDescent="0.25"/>
    <row r="1663" s="99" customFormat="1" x14ac:dyDescent="0.25"/>
    <row r="1664" s="99" customFormat="1" x14ac:dyDescent="0.25"/>
    <row r="1665" s="99" customFormat="1" x14ac:dyDescent="0.25"/>
    <row r="1666" s="99" customFormat="1" x14ac:dyDescent="0.25"/>
    <row r="1667" s="99" customFormat="1" x14ac:dyDescent="0.25"/>
    <row r="1668" s="99" customFormat="1" x14ac:dyDescent="0.25"/>
    <row r="1669" s="99" customFormat="1" x14ac:dyDescent="0.25"/>
    <row r="1670" s="99" customFormat="1" x14ac:dyDescent="0.25"/>
    <row r="1671" s="99" customFormat="1" x14ac:dyDescent="0.25"/>
    <row r="1672" s="99" customFormat="1" x14ac:dyDescent="0.25"/>
    <row r="1673" s="99" customFormat="1" x14ac:dyDescent="0.25"/>
    <row r="1674" s="99" customFormat="1" x14ac:dyDescent="0.25"/>
    <row r="1675" s="99" customFormat="1" x14ac:dyDescent="0.25"/>
    <row r="1676" s="99" customFormat="1" x14ac:dyDescent="0.25"/>
    <row r="1677" s="99" customFormat="1" x14ac:dyDescent="0.25"/>
    <row r="1678" s="99" customFormat="1" x14ac:dyDescent="0.25"/>
    <row r="1679" s="99" customFormat="1" x14ac:dyDescent="0.25"/>
    <row r="1680" s="99" customFormat="1" x14ac:dyDescent="0.25"/>
    <row r="1681" s="99" customFormat="1" x14ac:dyDescent="0.25"/>
    <row r="1682" s="99" customFormat="1" x14ac:dyDescent="0.25"/>
    <row r="1683" s="99" customFormat="1" x14ac:dyDescent="0.25"/>
    <row r="1684" s="99" customFormat="1" x14ac:dyDescent="0.25"/>
    <row r="1685" s="99" customFormat="1" x14ac:dyDescent="0.25"/>
    <row r="1686" s="99" customFormat="1" x14ac:dyDescent="0.25"/>
    <row r="1687" s="99" customFormat="1" x14ac:dyDescent="0.25"/>
    <row r="1688" s="99" customFormat="1" x14ac:dyDescent="0.25"/>
    <row r="1689" s="99" customFormat="1" x14ac:dyDescent="0.25"/>
    <row r="1690" s="99" customFormat="1" x14ac:dyDescent="0.25"/>
    <row r="1691" s="99" customFormat="1" x14ac:dyDescent="0.25"/>
    <row r="1692" s="99" customFormat="1" x14ac:dyDescent="0.25"/>
    <row r="1693" s="99" customFormat="1" x14ac:dyDescent="0.25"/>
    <row r="1694" s="99" customFormat="1" x14ac:dyDescent="0.25"/>
    <row r="1695" s="99" customFormat="1" x14ac:dyDescent="0.25"/>
    <row r="1696" s="99" customFormat="1" x14ac:dyDescent="0.25"/>
    <row r="1697" s="99" customFormat="1" x14ac:dyDescent="0.25"/>
    <row r="1698" s="99" customFormat="1" x14ac:dyDescent="0.25"/>
    <row r="1699" s="99" customFormat="1" x14ac:dyDescent="0.25"/>
    <row r="1700" s="99" customFormat="1" x14ac:dyDescent="0.25"/>
    <row r="1701" s="99" customFormat="1" x14ac:dyDescent="0.25"/>
    <row r="1702" s="99" customFormat="1" x14ac:dyDescent="0.25"/>
    <row r="1703" s="99" customFormat="1" x14ac:dyDescent="0.25"/>
    <row r="1704" s="99" customFormat="1" x14ac:dyDescent="0.25"/>
    <row r="1705" s="99" customFormat="1" x14ac:dyDescent="0.25"/>
    <row r="1706" s="99" customFormat="1" x14ac:dyDescent="0.25"/>
    <row r="1707" s="99" customFormat="1" x14ac:dyDescent="0.25"/>
    <row r="1708" s="99" customFormat="1" x14ac:dyDescent="0.25"/>
    <row r="1709" s="99" customFormat="1" x14ac:dyDescent="0.25"/>
    <row r="1710" s="99" customFormat="1" x14ac:dyDescent="0.25"/>
    <row r="1711" s="99" customFormat="1" x14ac:dyDescent="0.25"/>
    <row r="1712" s="99" customFormat="1" x14ac:dyDescent="0.25"/>
    <row r="1713" s="99" customFormat="1" x14ac:dyDescent="0.25"/>
    <row r="1714" s="99" customFormat="1" x14ac:dyDescent="0.25"/>
    <row r="1715" s="99" customFormat="1" x14ac:dyDescent="0.25"/>
    <row r="1716" s="99" customFormat="1" x14ac:dyDescent="0.25"/>
    <row r="1717" s="99" customFormat="1" x14ac:dyDescent="0.25"/>
    <row r="1718" s="99" customFormat="1" x14ac:dyDescent="0.25"/>
    <row r="1719" s="99" customFormat="1" x14ac:dyDescent="0.25"/>
    <row r="1720" s="99" customFormat="1" x14ac:dyDescent="0.25"/>
    <row r="1721" s="99" customFormat="1" x14ac:dyDescent="0.25"/>
    <row r="1722" s="99" customFormat="1" x14ac:dyDescent="0.25"/>
    <row r="1723" s="99" customFormat="1" x14ac:dyDescent="0.25"/>
    <row r="1724" s="99" customFormat="1" x14ac:dyDescent="0.25"/>
    <row r="1725" s="99" customFormat="1" x14ac:dyDescent="0.25"/>
    <row r="1726" s="99" customFormat="1" x14ac:dyDescent="0.25"/>
    <row r="1727" s="99" customFormat="1" x14ac:dyDescent="0.25"/>
    <row r="1728" s="99" customFormat="1" x14ac:dyDescent="0.25"/>
    <row r="1729" s="99" customFormat="1" x14ac:dyDescent="0.25"/>
    <row r="1730" s="99" customFormat="1" x14ac:dyDescent="0.25"/>
    <row r="1731" s="99" customFormat="1" x14ac:dyDescent="0.25"/>
    <row r="1732" s="99" customFormat="1" x14ac:dyDescent="0.25"/>
    <row r="1733" s="99" customFormat="1" x14ac:dyDescent="0.25"/>
    <row r="1734" s="99" customFormat="1" x14ac:dyDescent="0.25"/>
    <row r="1735" s="99" customFormat="1" x14ac:dyDescent="0.25"/>
    <row r="1736" s="99" customFormat="1" x14ac:dyDescent="0.25"/>
    <row r="1737" s="99" customFormat="1" x14ac:dyDescent="0.25"/>
    <row r="1738" s="99" customFormat="1" x14ac:dyDescent="0.25"/>
    <row r="1739" s="99" customFormat="1" x14ac:dyDescent="0.25"/>
    <row r="1740" s="99" customFormat="1" x14ac:dyDescent="0.25"/>
    <row r="1741" s="99" customFormat="1" x14ac:dyDescent="0.25"/>
    <row r="1742" s="99" customFormat="1" x14ac:dyDescent="0.25"/>
    <row r="1743" s="99" customFormat="1" x14ac:dyDescent="0.25"/>
    <row r="1744" s="99" customFormat="1" x14ac:dyDescent="0.25"/>
    <row r="1745" s="99" customFormat="1" x14ac:dyDescent="0.25"/>
    <row r="1746" s="99" customFormat="1" x14ac:dyDescent="0.25"/>
    <row r="1747" s="99" customFormat="1" x14ac:dyDescent="0.25"/>
    <row r="1748" s="99" customFormat="1" x14ac:dyDescent="0.25"/>
    <row r="1749" s="99" customFormat="1" x14ac:dyDescent="0.25"/>
    <row r="1750" s="99" customFormat="1" x14ac:dyDescent="0.25"/>
    <row r="1751" s="99" customFormat="1" x14ac:dyDescent="0.25"/>
    <row r="1752" s="99" customFormat="1" x14ac:dyDescent="0.25"/>
    <row r="1753" s="99" customFormat="1" x14ac:dyDescent="0.25"/>
    <row r="1754" s="99" customFormat="1" x14ac:dyDescent="0.25"/>
    <row r="1755" s="99" customFormat="1" x14ac:dyDescent="0.25"/>
    <row r="1756" s="99" customFormat="1" x14ac:dyDescent="0.25"/>
    <row r="1757" s="99" customFormat="1" x14ac:dyDescent="0.25"/>
    <row r="1758" s="99" customFormat="1" x14ac:dyDescent="0.25"/>
    <row r="1759" s="99" customFormat="1" x14ac:dyDescent="0.25"/>
    <row r="1760" s="99" customFormat="1" x14ac:dyDescent="0.25"/>
    <row r="1761" s="99" customFormat="1" x14ac:dyDescent="0.25"/>
    <row r="1762" s="99" customFormat="1" x14ac:dyDescent="0.25"/>
    <row r="1763" s="99" customFormat="1" x14ac:dyDescent="0.25"/>
    <row r="1764" s="99" customFormat="1" x14ac:dyDescent="0.25"/>
    <row r="1765" s="99" customFormat="1" x14ac:dyDescent="0.25"/>
    <row r="1766" s="99" customFormat="1" x14ac:dyDescent="0.25"/>
    <row r="1767" s="99" customFormat="1" x14ac:dyDescent="0.25"/>
    <row r="1768" s="99" customFormat="1" x14ac:dyDescent="0.25"/>
    <row r="1769" s="99" customFormat="1" x14ac:dyDescent="0.25"/>
    <row r="1770" s="99" customFormat="1" x14ac:dyDescent="0.25"/>
    <row r="1771" s="99" customFormat="1" x14ac:dyDescent="0.25"/>
    <row r="1772" s="99" customFormat="1" x14ac:dyDescent="0.25"/>
    <row r="1773" s="99" customFormat="1" x14ac:dyDescent="0.25"/>
    <row r="1774" s="99" customFormat="1" x14ac:dyDescent="0.25"/>
    <row r="1775" s="99" customFormat="1" x14ac:dyDescent="0.25"/>
    <row r="1776" s="99" customFormat="1" x14ac:dyDescent="0.25"/>
    <row r="1777" s="99" customFormat="1" x14ac:dyDescent="0.25"/>
    <row r="1778" s="99" customFormat="1" x14ac:dyDescent="0.25"/>
    <row r="1779" s="99" customFormat="1" x14ac:dyDescent="0.25"/>
    <row r="1780" s="99" customFormat="1" x14ac:dyDescent="0.25"/>
    <row r="1781" s="99" customFormat="1" x14ac:dyDescent="0.25"/>
    <row r="1782" s="99" customFormat="1" x14ac:dyDescent="0.25"/>
    <row r="1783" s="99" customFormat="1" x14ac:dyDescent="0.25"/>
    <row r="1784" s="99" customFormat="1" x14ac:dyDescent="0.25"/>
    <row r="1785" s="99" customFormat="1" x14ac:dyDescent="0.25"/>
    <row r="1786" s="99" customFormat="1" x14ac:dyDescent="0.25"/>
    <row r="1787" s="99" customFormat="1" x14ac:dyDescent="0.25"/>
    <row r="1788" s="99" customFormat="1" x14ac:dyDescent="0.25"/>
    <row r="1789" s="99" customFormat="1" x14ac:dyDescent="0.25"/>
    <row r="1790" s="99" customFormat="1" x14ac:dyDescent="0.25"/>
    <row r="1791" s="99" customFormat="1" x14ac:dyDescent="0.25"/>
    <row r="1792" s="99" customFormat="1" x14ac:dyDescent="0.25"/>
    <row r="1793" s="99" customFormat="1" x14ac:dyDescent="0.25"/>
    <row r="1794" s="99" customFormat="1" x14ac:dyDescent="0.25"/>
    <row r="1795" s="99" customFormat="1" x14ac:dyDescent="0.25"/>
    <row r="1796" s="99" customFormat="1" x14ac:dyDescent="0.25"/>
    <row r="1797" s="99" customFormat="1" x14ac:dyDescent="0.25"/>
    <row r="1798" s="99" customFormat="1" x14ac:dyDescent="0.25"/>
    <row r="1799" s="99" customFormat="1" x14ac:dyDescent="0.25"/>
    <row r="1800" s="99" customFormat="1" x14ac:dyDescent="0.25"/>
    <row r="1801" s="99" customFormat="1" x14ac:dyDescent="0.25"/>
    <row r="1802" s="99" customFormat="1" x14ac:dyDescent="0.25"/>
    <row r="1803" s="99" customFormat="1" x14ac:dyDescent="0.25"/>
    <row r="1804" s="99" customFormat="1" x14ac:dyDescent="0.25"/>
    <row r="1805" s="99" customFormat="1" x14ac:dyDescent="0.25"/>
    <row r="1806" s="99" customFormat="1" x14ac:dyDescent="0.25"/>
    <row r="1807" s="99" customFormat="1" x14ac:dyDescent="0.25"/>
    <row r="1808" s="99" customFormat="1" x14ac:dyDescent="0.25"/>
    <row r="1809" s="99" customFormat="1" x14ac:dyDescent="0.25"/>
    <row r="1810" s="99" customFormat="1" x14ac:dyDescent="0.25"/>
    <row r="1811" s="99" customFormat="1" x14ac:dyDescent="0.25"/>
    <row r="1812" s="99" customFormat="1" x14ac:dyDescent="0.25"/>
    <row r="1813" s="99" customFormat="1" x14ac:dyDescent="0.25"/>
    <row r="1814" s="99" customFormat="1" x14ac:dyDescent="0.25"/>
    <row r="1815" s="99" customFormat="1" x14ac:dyDescent="0.25"/>
    <row r="1816" s="99" customFormat="1" x14ac:dyDescent="0.25"/>
    <row r="1817" s="99" customFormat="1" x14ac:dyDescent="0.25"/>
    <row r="1818" s="99" customFormat="1" x14ac:dyDescent="0.25"/>
    <row r="1819" s="99" customFormat="1" x14ac:dyDescent="0.25"/>
    <row r="1820" s="99" customFormat="1" x14ac:dyDescent="0.25"/>
    <row r="1821" s="99" customFormat="1" x14ac:dyDescent="0.25"/>
    <row r="1822" s="99" customFormat="1" x14ac:dyDescent="0.25"/>
    <row r="1823" s="99" customFormat="1" x14ac:dyDescent="0.25"/>
    <row r="1824" s="99" customFormat="1" x14ac:dyDescent="0.25"/>
    <row r="1825" s="99" customFormat="1" x14ac:dyDescent="0.25"/>
    <row r="1826" s="99" customFormat="1" x14ac:dyDescent="0.25"/>
    <row r="1827" s="99" customFormat="1" x14ac:dyDescent="0.25"/>
    <row r="1828" s="99" customFormat="1" x14ac:dyDescent="0.25"/>
    <row r="1829" s="99" customFormat="1" x14ac:dyDescent="0.25"/>
    <row r="1830" s="99" customFormat="1" x14ac:dyDescent="0.25"/>
    <row r="1831" s="99" customFormat="1" x14ac:dyDescent="0.25"/>
    <row r="1832" s="99" customFormat="1" x14ac:dyDescent="0.25"/>
    <row r="1833" s="99" customFormat="1" x14ac:dyDescent="0.25"/>
    <row r="1834" s="99" customFormat="1" x14ac:dyDescent="0.25"/>
    <row r="1835" s="99" customFormat="1" x14ac:dyDescent="0.25"/>
    <row r="1836" s="99" customFormat="1" x14ac:dyDescent="0.25"/>
    <row r="1837" s="99" customFormat="1" x14ac:dyDescent="0.25"/>
    <row r="1838" s="99" customFormat="1" x14ac:dyDescent="0.25"/>
    <row r="1839" s="99" customFormat="1" x14ac:dyDescent="0.25"/>
    <row r="1840" s="99" customFormat="1" x14ac:dyDescent="0.25"/>
    <row r="1841" s="99" customFormat="1" x14ac:dyDescent="0.25"/>
    <row r="1842" s="99" customFormat="1" x14ac:dyDescent="0.25"/>
    <row r="1843" s="99" customFormat="1" x14ac:dyDescent="0.25"/>
    <row r="1844" s="99" customFormat="1" x14ac:dyDescent="0.25"/>
    <row r="1845" s="99" customFormat="1" x14ac:dyDescent="0.25"/>
    <row r="1846" s="99" customFormat="1" x14ac:dyDescent="0.25"/>
    <row r="1847" s="99" customFormat="1" x14ac:dyDescent="0.25"/>
    <row r="1848" s="99" customFormat="1" x14ac:dyDescent="0.25"/>
    <row r="1849" s="99" customFormat="1" x14ac:dyDescent="0.25"/>
    <row r="1850" s="99" customFormat="1" x14ac:dyDescent="0.25"/>
    <row r="1851" s="99" customFormat="1" x14ac:dyDescent="0.25"/>
    <row r="1852" s="99" customFormat="1" x14ac:dyDescent="0.25"/>
    <row r="1853" s="99" customFormat="1" x14ac:dyDescent="0.25"/>
    <row r="1854" s="99" customFormat="1" x14ac:dyDescent="0.25"/>
    <row r="1855" s="99" customFormat="1" x14ac:dyDescent="0.25"/>
    <row r="1856" s="99" customFormat="1" x14ac:dyDescent="0.25"/>
    <row r="1857" s="99" customFormat="1" x14ac:dyDescent="0.25"/>
    <row r="1858" s="99" customFormat="1" x14ac:dyDescent="0.25"/>
    <row r="1859" s="99" customFormat="1" x14ac:dyDescent="0.25"/>
    <row r="1860" s="99" customFormat="1" x14ac:dyDescent="0.25"/>
    <row r="1861" s="99" customFormat="1" x14ac:dyDescent="0.25"/>
    <row r="1862" s="99" customFormat="1" x14ac:dyDescent="0.25"/>
    <row r="1863" s="99" customFormat="1" x14ac:dyDescent="0.25"/>
    <row r="1864" s="99" customFormat="1" x14ac:dyDescent="0.25"/>
    <row r="1865" s="99" customFormat="1" x14ac:dyDescent="0.25"/>
    <row r="1866" s="99" customFormat="1" x14ac:dyDescent="0.25"/>
    <row r="1867" s="99" customFormat="1" x14ac:dyDescent="0.25"/>
    <row r="1868" s="99" customFormat="1" x14ac:dyDescent="0.25"/>
    <row r="1869" s="99" customFormat="1" x14ac:dyDescent="0.25"/>
    <row r="1870" s="99" customFormat="1" x14ac:dyDescent="0.25"/>
    <row r="1871" s="99" customFormat="1" x14ac:dyDescent="0.25"/>
    <row r="1872" s="99" customFormat="1" x14ac:dyDescent="0.25"/>
    <row r="1873" s="99" customFormat="1" x14ac:dyDescent="0.25"/>
    <row r="1874" s="99" customFormat="1" x14ac:dyDescent="0.25"/>
    <row r="1875" s="99" customFormat="1" x14ac:dyDescent="0.25"/>
    <row r="1876" s="99" customFormat="1" x14ac:dyDescent="0.25"/>
    <row r="1877" s="99" customFormat="1" x14ac:dyDescent="0.25"/>
    <row r="1878" s="99" customFormat="1" x14ac:dyDescent="0.25"/>
    <row r="1879" s="99" customFormat="1" x14ac:dyDescent="0.25"/>
    <row r="1880" s="99" customFormat="1" x14ac:dyDescent="0.25"/>
    <row r="1881" s="99" customFormat="1" x14ac:dyDescent="0.25"/>
    <row r="1882" s="99" customFormat="1" x14ac:dyDescent="0.25"/>
    <row r="1883" s="99" customFormat="1" x14ac:dyDescent="0.25"/>
    <row r="1884" s="99" customFormat="1" x14ac:dyDescent="0.25"/>
    <row r="1885" s="99" customFormat="1" x14ac:dyDescent="0.25"/>
    <row r="1886" s="99" customFormat="1" x14ac:dyDescent="0.25"/>
    <row r="1887" s="99" customFormat="1" x14ac:dyDescent="0.25"/>
    <row r="1888" s="99" customFormat="1" x14ac:dyDescent="0.25"/>
    <row r="1889" s="99" customFormat="1" x14ac:dyDescent="0.25"/>
    <row r="1890" s="99" customFormat="1" x14ac:dyDescent="0.25"/>
    <row r="1891" s="99" customFormat="1" x14ac:dyDescent="0.25"/>
    <row r="1892" s="99" customFormat="1" x14ac:dyDescent="0.25"/>
    <row r="1893" s="99" customFormat="1" x14ac:dyDescent="0.25"/>
    <row r="1894" s="99" customFormat="1" x14ac:dyDescent="0.25"/>
    <row r="1895" s="99" customFormat="1" x14ac:dyDescent="0.25"/>
    <row r="1896" s="99" customFormat="1" x14ac:dyDescent="0.25"/>
    <row r="1897" s="99" customFormat="1" x14ac:dyDescent="0.25"/>
    <row r="1898" s="99" customFormat="1" x14ac:dyDescent="0.25"/>
    <row r="1899" s="99" customFormat="1" x14ac:dyDescent="0.25"/>
    <row r="1900" s="99" customFormat="1" x14ac:dyDescent="0.25"/>
    <row r="1901" s="99" customFormat="1" x14ac:dyDescent="0.25"/>
    <row r="1902" s="99" customFormat="1" x14ac:dyDescent="0.25"/>
    <row r="1903" s="99" customFormat="1" x14ac:dyDescent="0.25"/>
    <row r="1904" s="99" customFormat="1" x14ac:dyDescent="0.25"/>
    <row r="1905" s="99" customFormat="1" x14ac:dyDescent="0.25"/>
    <row r="1906" s="99" customFormat="1" x14ac:dyDescent="0.25"/>
    <row r="1907" s="99" customFormat="1" x14ac:dyDescent="0.25"/>
    <row r="1908" s="99" customFormat="1" x14ac:dyDescent="0.25"/>
    <row r="1909" s="99" customFormat="1" x14ac:dyDescent="0.25"/>
    <row r="1910" s="99" customFormat="1" x14ac:dyDescent="0.25"/>
    <row r="1911" s="99" customFormat="1" x14ac:dyDescent="0.25"/>
    <row r="1912" s="99" customFormat="1" x14ac:dyDescent="0.25"/>
    <row r="1913" s="99" customFormat="1" x14ac:dyDescent="0.25"/>
    <row r="1914" s="99" customFormat="1" x14ac:dyDescent="0.25"/>
    <row r="1915" s="99" customFormat="1" x14ac:dyDescent="0.25"/>
    <row r="1916" s="99" customFormat="1" x14ac:dyDescent="0.25"/>
    <row r="1917" s="99" customFormat="1" x14ac:dyDescent="0.25"/>
    <row r="1918" s="99" customFormat="1" x14ac:dyDescent="0.25"/>
    <row r="1919" s="99" customFormat="1" x14ac:dyDescent="0.25"/>
    <row r="1920" s="99" customFormat="1" x14ac:dyDescent="0.25"/>
    <row r="1921" s="99" customFormat="1" x14ac:dyDescent="0.25"/>
    <row r="1922" s="99" customFormat="1" x14ac:dyDescent="0.25"/>
    <row r="1923" s="99" customFormat="1" x14ac:dyDescent="0.25"/>
    <row r="1924" s="99" customFormat="1" x14ac:dyDescent="0.25"/>
    <row r="1925" s="99" customFormat="1" x14ac:dyDescent="0.25"/>
    <row r="1926" s="99" customFormat="1" x14ac:dyDescent="0.25"/>
    <row r="1927" s="99" customFormat="1" x14ac:dyDescent="0.25"/>
    <row r="1928" s="99" customFormat="1" x14ac:dyDescent="0.25"/>
    <row r="1929" s="99" customFormat="1" x14ac:dyDescent="0.25"/>
    <row r="1930" s="99" customFormat="1" x14ac:dyDescent="0.25"/>
    <row r="1931" s="99" customFormat="1" x14ac:dyDescent="0.25"/>
    <row r="1932" s="99" customFormat="1" x14ac:dyDescent="0.25"/>
    <row r="1933" s="99" customFormat="1" x14ac:dyDescent="0.25"/>
    <row r="1934" s="99" customFormat="1" x14ac:dyDescent="0.25"/>
    <row r="1935" s="99" customFormat="1" x14ac:dyDescent="0.25"/>
    <row r="1936" s="99" customFormat="1" x14ac:dyDescent="0.25"/>
    <row r="1937" s="99" customFormat="1" x14ac:dyDescent="0.25"/>
    <row r="1938" s="99" customFormat="1" x14ac:dyDescent="0.25"/>
    <row r="1939" s="99" customFormat="1" x14ac:dyDescent="0.25"/>
    <row r="1940" s="99" customFormat="1" x14ac:dyDescent="0.25"/>
    <row r="1941" s="99" customFormat="1" x14ac:dyDescent="0.25"/>
    <row r="1942" s="99" customFormat="1" x14ac:dyDescent="0.25"/>
    <row r="1943" s="99" customFormat="1" x14ac:dyDescent="0.25"/>
    <row r="1944" s="99" customFormat="1" x14ac:dyDescent="0.25"/>
    <row r="1945" s="99" customFormat="1" x14ac:dyDescent="0.25"/>
    <row r="1946" s="99" customFormat="1" x14ac:dyDescent="0.25"/>
    <row r="1947" s="99" customFormat="1" x14ac:dyDescent="0.25"/>
    <row r="1948" s="99" customFormat="1" x14ac:dyDescent="0.25"/>
    <row r="1949" s="99" customFormat="1" x14ac:dyDescent="0.25"/>
    <row r="1950" s="99" customFormat="1" x14ac:dyDescent="0.25"/>
    <row r="1951" s="99" customFormat="1" x14ac:dyDescent="0.25"/>
    <row r="1952" s="99" customFormat="1" x14ac:dyDescent="0.25"/>
    <row r="1953" s="99" customFormat="1" x14ac:dyDescent="0.25"/>
    <row r="1954" s="99" customFormat="1" x14ac:dyDescent="0.25"/>
    <row r="1955" s="99" customFormat="1" x14ac:dyDescent="0.25"/>
    <row r="1956" s="99" customFormat="1" x14ac:dyDescent="0.25"/>
    <row r="1957" s="99" customFormat="1" x14ac:dyDescent="0.25"/>
    <row r="1958" s="99" customFormat="1" x14ac:dyDescent="0.25"/>
    <row r="1959" s="99" customFormat="1" x14ac:dyDescent="0.25"/>
    <row r="1960" s="99" customFormat="1" x14ac:dyDescent="0.25"/>
    <row r="1961" s="99" customFormat="1" x14ac:dyDescent="0.25"/>
    <row r="1962" s="99" customFormat="1" x14ac:dyDescent="0.25"/>
    <row r="1963" s="99" customFormat="1" x14ac:dyDescent="0.25"/>
    <row r="1964" s="99" customFormat="1" x14ac:dyDescent="0.25"/>
    <row r="1965" s="99" customFormat="1" x14ac:dyDescent="0.25"/>
    <row r="1966" s="99" customFormat="1" x14ac:dyDescent="0.25"/>
    <row r="1967" s="99" customFormat="1" x14ac:dyDescent="0.25"/>
    <row r="1968" s="99" customFormat="1" x14ac:dyDescent="0.25"/>
    <row r="1969" s="99" customFormat="1" x14ac:dyDescent="0.25"/>
    <row r="1970" s="99" customFormat="1" x14ac:dyDescent="0.25"/>
    <row r="1971" s="99" customFormat="1" x14ac:dyDescent="0.25"/>
    <row r="1972" s="99" customFormat="1" x14ac:dyDescent="0.25"/>
    <row r="1973" s="99" customFormat="1" x14ac:dyDescent="0.25"/>
    <row r="1974" s="99" customFormat="1" x14ac:dyDescent="0.25"/>
    <row r="1975" s="99" customFormat="1" x14ac:dyDescent="0.25"/>
    <row r="1976" s="99" customFormat="1" x14ac:dyDescent="0.25"/>
    <row r="1977" s="99" customFormat="1" x14ac:dyDescent="0.25"/>
    <row r="1978" s="99" customFormat="1" x14ac:dyDescent="0.25"/>
    <row r="1979" s="99" customFormat="1" x14ac:dyDescent="0.25"/>
    <row r="1980" s="99" customFormat="1" x14ac:dyDescent="0.25"/>
    <row r="1981" s="99" customFormat="1" x14ac:dyDescent="0.25"/>
    <row r="1982" s="99" customFormat="1" x14ac:dyDescent="0.25"/>
    <row r="1983" s="99" customFormat="1" x14ac:dyDescent="0.25"/>
    <row r="1984" s="99" customFormat="1" x14ac:dyDescent="0.25"/>
    <row r="1985" s="99" customFormat="1" x14ac:dyDescent="0.25"/>
    <row r="1986" s="99" customFormat="1" x14ac:dyDescent="0.25"/>
    <row r="1987" s="99" customFormat="1" x14ac:dyDescent="0.25"/>
    <row r="1988" s="99" customFormat="1" x14ac:dyDescent="0.25"/>
    <row r="1989" s="99" customFormat="1" x14ac:dyDescent="0.25"/>
    <row r="1990" s="99" customFormat="1" x14ac:dyDescent="0.25"/>
    <row r="1991" s="99" customFormat="1" x14ac:dyDescent="0.25"/>
    <row r="1992" s="99" customFormat="1" x14ac:dyDescent="0.25"/>
    <row r="1993" s="99" customFormat="1" x14ac:dyDescent="0.25"/>
    <row r="1994" s="99" customFormat="1" x14ac:dyDescent="0.25"/>
    <row r="1995" s="99" customFormat="1" x14ac:dyDescent="0.25"/>
    <row r="1996" s="99" customFormat="1" x14ac:dyDescent="0.25"/>
    <row r="1997" s="99" customFormat="1" x14ac:dyDescent="0.25"/>
    <row r="1998" s="99" customFormat="1" x14ac:dyDescent="0.25"/>
    <row r="1999" s="99" customFormat="1" x14ac:dyDescent="0.25"/>
    <row r="2000" s="99" customFormat="1" x14ac:dyDescent="0.25"/>
    <row r="2001" s="99" customFormat="1" x14ac:dyDescent="0.25"/>
    <row r="2002" s="99" customFormat="1" x14ac:dyDescent="0.25"/>
    <row r="2003" s="99" customFormat="1" x14ac:dyDescent="0.25"/>
    <row r="2004" s="99" customFormat="1" x14ac:dyDescent="0.25"/>
    <row r="2005" s="99" customFormat="1" x14ac:dyDescent="0.25"/>
    <row r="2006" s="99" customFormat="1" x14ac:dyDescent="0.25"/>
    <row r="2007" s="99" customFormat="1" x14ac:dyDescent="0.25"/>
    <row r="2008" s="99" customFormat="1" x14ac:dyDescent="0.25"/>
    <row r="2009" s="99" customFormat="1" x14ac:dyDescent="0.25"/>
    <row r="2010" s="99" customFormat="1" x14ac:dyDescent="0.25"/>
    <row r="2011" s="99" customFormat="1" x14ac:dyDescent="0.25"/>
    <row r="2012" s="99" customFormat="1" x14ac:dyDescent="0.25"/>
    <row r="2013" s="99" customFormat="1" x14ac:dyDescent="0.25"/>
    <row r="2014" s="99" customFormat="1" x14ac:dyDescent="0.25"/>
    <row r="2015" s="99" customFormat="1" x14ac:dyDescent="0.25"/>
    <row r="2016" s="99" customFormat="1" x14ac:dyDescent="0.25"/>
    <row r="2017" s="99" customFormat="1" x14ac:dyDescent="0.25"/>
    <row r="2018" s="99" customFormat="1" x14ac:dyDescent="0.25"/>
    <row r="2019" s="99" customFormat="1" x14ac:dyDescent="0.25"/>
    <row r="2020" s="99" customFormat="1" x14ac:dyDescent="0.25"/>
    <row r="2021" s="99" customFormat="1" x14ac:dyDescent="0.25"/>
    <row r="2022" s="99" customFormat="1" x14ac:dyDescent="0.25"/>
    <row r="2023" s="99" customFormat="1" x14ac:dyDescent="0.25"/>
    <row r="2024" s="99" customFormat="1" x14ac:dyDescent="0.25"/>
    <row r="2025" s="99" customFormat="1" x14ac:dyDescent="0.25"/>
    <row r="2026" s="99" customFormat="1" x14ac:dyDescent="0.25"/>
    <row r="2027" s="99" customFormat="1" x14ac:dyDescent="0.25"/>
    <row r="2028" s="99" customFormat="1" x14ac:dyDescent="0.25"/>
    <row r="2029" s="99" customFormat="1" x14ac:dyDescent="0.25"/>
    <row r="2030" s="99" customFormat="1" x14ac:dyDescent="0.25"/>
    <row r="2031" s="99" customFormat="1" x14ac:dyDescent="0.25"/>
    <row r="2032" s="99" customFormat="1" x14ac:dyDescent="0.25"/>
    <row r="2033" s="99" customFormat="1" x14ac:dyDescent="0.25"/>
    <row r="2034" s="99" customFormat="1" x14ac:dyDescent="0.25"/>
    <row r="2035" s="99" customFormat="1" x14ac:dyDescent="0.25"/>
    <row r="2036" s="99" customFormat="1" x14ac:dyDescent="0.25"/>
    <row r="2037" s="99" customFormat="1" x14ac:dyDescent="0.25"/>
    <row r="2038" s="99" customFormat="1" x14ac:dyDescent="0.25"/>
    <row r="2039" s="99" customFormat="1" x14ac:dyDescent="0.25"/>
    <row r="2040" s="99" customFormat="1" x14ac:dyDescent="0.25"/>
    <row r="2041" s="99" customFormat="1" x14ac:dyDescent="0.25"/>
    <row r="2042" s="99" customFormat="1" x14ac:dyDescent="0.25"/>
    <row r="2043" s="99" customFormat="1" x14ac:dyDescent="0.25"/>
    <row r="2044" s="99" customFormat="1" x14ac:dyDescent="0.25"/>
    <row r="2045" s="99" customFormat="1" x14ac:dyDescent="0.25"/>
    <row r="2046" s="99" customFormat="1" x14ac:dyDescent="0.25"/>
    <row r="2047" s="99" customFormat="1" x14ac:dyDescent="0.25"/>
    <row r="2048" s="99" customFormat="1" x14ac:dyDescent="0.25"/>
    <row r="2049" s="99" customFormat="1" x14ac:dyDescent="0.25"/>
    <row r="2050" s="99" customFormat="1" x14ac:dyDescent="0.25"/>
    <row r="2051" s="99" customFormat="1" x14ac:dyDescent="0.25"/>
    <row r="2052" s="99" customFormat="1" x14ac:dyDescent="0.25"/>
    <row r="2053" s="99" customFormat="1" x14ac:dyDescent="0.25"/>
    <row r="2054" s="99" customFormat="1" x14ac:dyDescent="0.25"/>
    <row r="2055" s="99" customFormat="1" x14ac:dyDescent="0.25"/>
    <row r="2056" s="99" customFormat="1" x14ac:dyDescent="0.25"/>
    <row r="2057" s="99" customFormat="1" x14ac:dyDescent="0.25"/>
    <row r="2058" s="99" customFormat="1" x14ac:dyDescent="0.25"/>
    <row r="2059" s="99" customFormat="1" x14ac:dyDescent="0.25"/>
    <row r="2060" s="99" customFormat="1" x14ac:dyDescent="0.25"/>
    <row r="2061" s="99" customFormat="1" x14ac:dyDescent="0.25"/>
    <row r="2062" s="99" customFormat="1" x14ac:dyDescent="0.25"/>
    <row r="2063" s="99" customFormat="1" x14ac:dyDescent="0.25"/>
    <row r="2064" s="99" customFormat="1" x14ac:dyDescent="0.25"/>
    <row r="2065" s="99" customFormat="1" x14ac:dyDescent="0.25"/>
    <row r="2066" s="99" customFormat="1" x14ac:dyDescent="0.25"/>
    <row r="2067" s="99" customFormat="1" x14ac:dyDescent="0.25"/>
    <row r="2068" s="99" customFormat="1" x14ac:dyDescent="0.25"/>
    <row r="2069" s="99" customFormat="1" x14ac:dyDescent="0.25"/>
    <row r="2070" s="99" customFormat="1" x14ac:dyDescent="0.25"/>
    <row r="2071" s="99" customFormat="1" x14ac:dyDescent="0.25"/>
    <row r="2072" s="99" customFormat="1" x14ac:dyDescent="0.25"/>
    <row r="2073" s="99" customFormat="1" x14ac:dyDescent="0.25"/>
    <row r="2074" s="99" customFormat="1" x14ac:dyDescent="0.25"/>
    <row r="2075" s="99" customFormat="1" x14ac:dyDescent="0.25"/>
    <row r="2076" s="99" customFormat="1" x14ac:dyDescent="0.25"/>
    <row r="2077" s="99" customFormat="1" x14ac:dyDescent="0.25"/>
    <row r="2078" s="99" customFormat="1" x14ac:dyDescent="0.25"/>
    <row r="2079" s="99" customFormat="1" x14ac:dyDescent="0.25"/>
    <row r="2080" s="99" customFormat="1" x14ac:dyDescent="0.25"/>
    <row r="2081" s="99" customFormat="1" x14ac:dyDescent="0.25"/>
    <row r="2082" s="99" customFormat="1" x14ac:dyDescent="0.25"/>
    <row r="2083" s="99" customFormat="1" x14ac:dyDescent="0.25"/>
    <row r="2084" s="99" customFormat="1" x14ac:dyDescent="0.25"/>
    <row r="2085" s="99" customFormat="1" x14ac:dyDescent="0.25"/>
    <row r="2086" s="99" customFormat="1" x14ac:dyDescent="0.25"/>
    <row r="2087" s="99" customFormat="1" x14ac:dyDescent="0.25"/>
    <row r="2088" s="99" customFormat="1" x14ac:dyDescent="0.25"/>
    <row r="2089" s="99" customFormat="1" x14ac:dyDescent="0.25"/>
    <row r="2090" s="99" customFormat="1" x14ac:dyDescent="0.25"/>
    <row r="2091" s="99" customFormat="1" x14ac:dyDescent="0.25"/>
    <row r="2092" s="99" customFormat="1" x14ac:dyDescent="0.25"/>
    <row r="2093" s="99" customFormat="1" x14ac:dyDescent="0.25"/>
    <row r="2094" s="99" customFormat="1" x14ac:dyDescent="0.25"/>
    <row r="2095" s="99" customFormat="1" x14ac:dyDescent="0.25"/>
    <row r="2096" s="99" customFormat="1" x14ac:dyDescent="0.25"/>
    <row r="2097" s="99" customFormat="1" x14ac:dyDescent="0.25"/>
    <row r="2098" s="99" customFormat="1" x14ac:dyDescent="0.25"/>
    <row r="2099" s="99" customFormat="1" x14ac:dyDescent="0.25"/>
    <row r="2100" s="99" customFormat="1" x14ac:dyDescent="0.25"/>
    <row r="2101" s="99" customFormat="1" x14ac:dyDescent="0.25"/>
    <row r="2102" s="99" customFormat="1" x14ac:dyDescent="0.25"/>
    <row r="2103" s="99" customFormat="1" x14ac:dyDescent="0.25"/>
    <row r="2104" s="99" customFormat="1" x14ac:dyDescent="0.25"/>
    <row r="2105" s="99" customFormat="1" x14ac:dyDescent="0.25"/>
    <row r="2106" s="99" customFormat="1" x14ac:dyDescent="0.25"/>
    <row r="2107" s="99" customFormat="1" x14ac:dyDescent="0.25"/>
    <row r="2108" s="99" customFormat="1" x14ac:dyDescent="0.25"/>
    <row r="2109" s="99" customFormat="1" x14ac:dyDescent="0.25"/>
    <row r="2110" s="99" customFormat="1" x14ac:dyDescent="0.25"/>
    <row r="2111" s="99" customFormat="1" x14ac:dyDescent="0.25"/>
    <row r="2112" s="99" customFormat="1" x14ac:dyDescent="0.25"/>
    <row r="2113" s="99" customFormat="1" x14ac:dyDescent="0.25"/>
    <row r="2114" s="99" customFormat="1" x14ac:dyDescent="0.25"/>
    <row r="2115" s="99" customFormat="1" x14ac:dyDescent="0.25"/>
    <row r="2116" s="99" customFormat="1" x14ac:dyDescent="0.25"/>
    <row r="2117" s="99" customFormat="1" x14ac:dyDescent="0.25"/>
    <row r="2118" s="99" customFormat="1" x14ac:dyDescent="0.25"/>
    <row r="2119" s="99" customFormat="1" x14ac:dyDescent="0.25"/>
    <row r="2120" s="99" customFormat="1" x14ac:dyDescent="0.25"/>
    <row r="2121" s="99" customFormat="1" x14ac:dyDescent="0.25"/>
    <row r="2122" s="99" customFormat="1" x14ac:dyDescent="0.25"/>
    <row r="2123" s="99" customFormat="1" x14ac:dyDescent="0.25"/>
    <row r="2124" s="99" customFormat="1" x14ac:dyDescent="0.25"/>
    <row r="2125" s="99" customFormat="1" x14ac:dyDescent="0.25"/>
    <row r="2126" s="99" customFormat="1" x14ac:dyDescent="0.25"/>
    <row r="2127" s="99" customFormat="1" x14ac:dyDescent="0.25"/>
    <row r="2128" s="99" customFormat="1" x14ac:dyDescent="0.25"/>
    <row r="2129" s="99" customFormat="1" x14ac:dyDescent="0.25"/>
    <row r="2130" s="99" customFormat="1" x14ac:dyDescent="0.25"/>
    <row r="2131" s="99" customFormat="1" x14ac:dyDescent="0.25"/>
    <row r="2132" s="99" customFormat="1" x14ac:dyDescent="0.25"/>
    <row r="2133" s="99" customFormat="1" x14ac:dyDescent="0.25"/>
    <row r="2134" s="99" customFormat="1" x14ac:dyDescent="0.25"/>
    <row r="2135" s="99" customFormat="1" x14ac:dyDescent="0.25"/>
    <row r="2136" s="99" customFormat="1" x14ac:dyDescent="0.25"/>
    <row r="2137" s="99" customFormat="1" x14ac:dyDescent="0.25"/>
    <row r="2138" s="99" customFormat="1" x14ac:dyDescent="0.25"/>
    <row r="2139" s="99" customFormat="1" x14ac:dyDescent="0.25"/>
    <row r="2140" s="99" customFormat="1" x14ac:dyDescent="0.25"/>
    <row r="2141" s="99" customFormat="1" x14ac:dyDescent="0.25"/>
    <row r="2142" s="99" customFormat="1" x14ac:dyDescent="0.25"/>
    <row r="2143" s="99" customFormat="1" x14ac:dyDescent="0.25"/>
    <row r="2144" s="99" customFormat="1" x14ac:dyDescent="0.25"/>
    <row r="2145" s="99" customFormat="1" x14ac:dyDescent="0.25"/>
    <row r="2146" s="99" customFormat="1" x14ac:dyDescent="0.25"/>
    <row r="2147" s="99" customFormat="1" x14ac:dyDescent="0.25"/>
    <row r="2148" s="99" customFormat="1" x14ac:dyDescent="0.25"/>
    <row r="2149" s="99" customFormat="1" x14ac:dyDescent="0.25"/>
    <row r="2150" s="99" customFormat="1" x14ac:dyDescent="0.25"/>
    <row r="2151" s="99" customFormat="1" x14ac:dyDescent="0.25"/>
    <row r="2152" s="99" customFormat="1" x14ac:dyDescent="0.25"/>
    <row r="2153" s="99" customFormat="1" x14ac:dyDescent="0.25"/>
    <row r="2154" s="99" customFormat="1" x14ac:dyDescent="0.25"/>
    <row r="2155" s="99" customFormat="1" x14ac:dyDescent="0.25"/>
    <row r="2156" s="99" customFormat="1" x14ac:dyDescent="0.25"/>
    <row r="2157" s="99" customFormat="1" x14ac:dyDescent="0.25"/>
    <row r="2158" s="99" customFormat="1" x14ac:dyDescent="0.25"/>
    <row r="2159" s="99" customFormat="1" x14ac:dyDescent="0.25"/>
    <row r="2160" s="99" customFormat="1" x14ac:dyDescent="0.25"/>
    <row r="2161" s="99" customFormat="1" x14ac:dyDescent="0.25"/>
    <row r="2162" s="99" customFormat="1" x14ac:dyDescent="0.25"/>
    <row r="2163" s="99" customFormat="1" x14ac:dyDescent="0.25"/>
    <row r="2164" s="99" customFormat="1" x14ac:dyDescent="0.25"/>
    <row r="2165" s="99" customFormat="1" x14ac:dyDescent="0.25"/>
    <row r="2166" s="99" customFormat="1" x14ac:dyDescent="0.25"/>
    <row r="2167" s="99" customFormat="1" x14ac:dyDescent="0.25"/>
    <row r="2168" s="99" customFormat="1" x14ac:dyDescent="0.25"/>
    <row r="2169" s="99" customFormat="1" x14ac:dyDescent="0.25"/>
    <row r="2170" s="99" customFormat="1" x14ac:dyDescent="0.25"/>
    <row r="2171" s="99" customFormat="1" x14ac:dyDescent="0.25"/>
    <row r="2172" s="99" customFormat="1" x14ac:dyDescent="0.25"/>
    <row r="2173" s="99" customFormat="1" x14ac:dyDescent="0.25"/>
    <row r="2174" s="99" customFormat="1" x14ac:dyDescent="0.25"/>
    <row r="2175" s="99" customFormat="1" x14ac:dyDescent="0.25"/>
    <row r="2176" s="99" customFormat="1" x14ac:dyDescent="0.25"/>
    <row r="2177" s="99" customFormat="1" x14ac:dyDescent="0.25"/>
    <row r="2178" s="99" customFormat="1" x14ac:dyDescent="0.25"/>
    <row r="2179" s="99" customFormat="1" x14ac:dyDescent="0.25"/>
    <row r="2180" s="99" customFormat="1" x14ac:dyDescent="0.25"/>
    <row r="2181" s="99" customFormat="1" x14ac:dyDescent="0.25"/>
    <row r="2182" s="99" customFormat="1" x14ac:dyDescent="0.25"/>
    <row r="2183" s="99" customFormat="1" x14ac:dyDescent="0.25"/>
    <row r="2184" s="99" customFormat="1" x14ac:dyDescent="0.25"/>
    <row r="2185" s="99" customFormat="1" x14ac:dyDescent="0.25"/>
    <row r="2186" s="99" customFormat="1" x14ac:dyDescent="0.25"/>
    <row r="2187" s="99" customFormat="1" x14ac:dyDescent="0.25"/>
    <row r="2188" s="99" customFormat="1" x14ac:dyDescent="0.25"/>
    <row r="2189" s="99" customFormat="1" x14ac:dyDescent="0.25"/>
    <row r="2190" s="99" customFormat="1" x14ac:dyDescent="0.25"/>
    <row r="2191" s="99" customFormat="1" x14ac:dyDescent="0.25"/>
    <row r="2192" s="99" customFormat="1" x14ac:dyDescent="0.25"/>
    <row r="2193" s="99" customFormat="1" x14ac:dyDescent="0.25"/>
    <row r="2194" s="99" customFormat="1" x14ac:dyDescent="0.25"/>
    <row r="2195" s="99" customFormat="1" x14ac:dyDescent="0.25"/>
    <row r="2196" s="99" customFormat="1" x14ac:dyDescent="0.25"/>
    <row r="2197" s="99" customFormat="1" x14ac:dyDescent="0.25"/>
    <row r="2198" s="99" customFormat="1" x14ac:dyDescent="0.25"/>
    <row r="2199" s="99" customFormat="1" x14ac:dyDescent="0.25"/>
    <row r="2200" s="99" customFormat="1" x14ac:dyDescent="0.25"/>
    <row r="2201" s="99" customFormat="1" x14ac:dyDescent="0.25"/>
    <row r="2202" s="99" customFormat="1" x14ac:dyDescent="0.25"/>
    <row r="2203" s="99" customFormat="1" x14ac:dyDescent="0.25"/>
    <row r="2204" s="99" customFormat="1" x14ac:dyDescent="0.25"/>
    <row r="2205" s="99" customFormat="1" x14ac:dyDescent="0.25"/>
    <row r="2206" s="99" customFormat="1" x14ac:dyDescent="0.25"/>
    <row r="2207" s="99" customFormat="1" x14ac:dyDescent="0.25"/>
    <row r="2208" s="99" customFormat="1" x14ac:dyDescent="0.25"/>
    <row r="2209" s="99" customFormat="1" x14ac:dyDescent="0.25"/>
    <row r="2210" s="99" customFormat="1" x14ac:dyDescent="0.25"/>
    <row r="2211" s="99" customFormat="1" x14ac:dyDescent="0.25"/>
    <row r="2212" s="99" customFormat="1" x14ac:dyDescent="0.25"/>
    <row r="2213" s="99" customFormat="1" x14ac:dyDescent="0.25"/>
    <row r="2214" s="99" customFormat="1" x14ac:dyDescent="0.25"/>
    <row r="2215" s="99" customFormat="1" x14ac:dyDescent="0.25"/>
    <row r="2216" s="99" customFormat="1" x14ac:dyDescent="0.25"/>
    <row r="2217" s="99" customFormat="1" x14ac:dyDescent="0.25"/>
    <row r="2218" s="99" customFormat="1" x14ac:dyDescent="0.25"/>
    <row r="2219" s="99" customFormat="1" x14ac:dyDescent="0.25"/>
    <row r="2220" s="99" customFormat="1" x14ac:dyDescent="0.25"/>
    <row r="2221" s="99" customFormat="1" x14ac:dyDescent="0.25"/>
    <row r="2222" s="99" customFormat="1" x14ac:dyDescent="0.25"/>
    <row r="2223" s="99" customFormat="1" x14ac:dyDescent="0.25"/>
    <row r="2224" s="99" customFormat="1" x14ac:dyDescent="0.25"/>
    <row r="2225" s="99" customFormat="1" x14ac:dyDescent="0.25"/>
    <row r="2226" s="99" customFormat="1" x14ac:dyDescent="0.25"/>
    <row r="2227" s="99" customFormat="1" x14ac:dyDescent="0.25"/>
    <row r="2228" s="99" customFormat="1" x14ac:dyDescent="0.25"/>
    <row r="2229" s="99" customFormat="1" x14ac:dyDescent="0.25"/>
    <row r="2230" s="99" customFormat="1" x14ac:dyDescent="0.25"/>
    <row r="2231" s="99" customFormat="1" x14ac:dyDescent="0.25"/>
    <row r="2232" s="99" customFormat="1" x14ac:dyDescent="0.25"/>
    <row r="2233" s="99" customFormat="1" x14ac:dyDescent="0.25"/>
    <row r="2234" s="99" customFormat="1" x14ac:dyDescent="0.25"/>
    <row r="2235" s="99" customFormat="1" x14ac:dyDescent="0.25"/>
    <row r="2236" s="99" customFormat="1" x14ac:dyDescent="0.25"/>
    <row r="2237" s="99" customFormat="1" x14ac:dyDescent="0.25"/>
    <row r="2238" s="99" customFormat="1" x14ac:dyDescent="0.25"/>
    <row r="2239" s="99" customFormat="1" x14ac:dyDescent="0.25"/>
    <row r="2240" s="99" customFormat="1" x14ac:dyDescent="0.25"/>
    <row r="2241" s="99" customFormat="1" x14ac:dyDescent="0.25"/>
    <row r="2242" s="99" customFormat="1" x14ac:dyDescent="0.25"/>
    <row r="2243" s="99" customFormat="1" x14ac:dyDescent="0.25"/>
    <row r="2244" s="99" customFormat="1" x14ac:dyDescent="0.25"/>
    <row r="2245" s="99" customFormat="1" x14ac:dyDescent="0.25"/>
    <row r="2246" s="99" customFormat="1" x14ac:dyDescent="0.25"/>
    <row r="2247" s="99" customFormat="1" x14ac:dyDescent="0.25"/>
    <row r="2248" s="99" customFormat="1" x14ac:dyDescent="0.25"/>
    <row r="2249" s="99" customFormat="1" x14ac:dyDescent="0.25"/>
    <row r="2250" s="99" customFormat="1" x14ac:dyDescent="0.25"/>
    <row r="2251" s="99" customFormat="1" x14ac:dyDescent="0.25"/>
    <row r="2252" s="99" customFormat="1" x14ac:dyDescent="0.25"/>
    <row r="2253" s="99" customFormat="1" x14ac:dyDescent="0.25"/>
    <row r="2254" s="99" customFormat="1" x14ac:dyDescent="0.25"/>
    <row r="2255" s="99" customFormat="1" x14ac:dyDescent="0.25"/>
    <row r="2256" s="99" customFormat="1" x14ac:dyDescent="0.25"/>
    <row r="2257" s="99" customFormat="1" x14ac:dyDescent="0.25"/>
    <row r="2258" s="99" customFormat="1" x14ac:dyDescent="0.25"/>
    <row r="2259" s="99" customFormat="1" x14ac:dyDescent="0.25"/>
    <row r="2260" s="99" customFormat="1" x14ac:dyDescent="0.25"/>
    <row r="2261" s="99" customFormat="1" x14ac:dyDescent="0.25"/>
    <row r="2262" s="99" customFormat="1" x14ac:dyDescent="0.25"/>
    <row r="2263" s="99" customFormat="1" x14ac:dyDescent="0.25"/>
    <row r="2264" s="99" customFormat="1" x14ac:dyDescent="0.25"/>
    <row r="2265" s="99" customFormat="1" x14ac:dyDescent="0.25"/>
    <row r="2266" s="99" customFormat="1" x14ac:dyDescent="0.25"/>
    <row r="2267" s="99" customFormat="1" x14ac:dyDescent="0.25"/>
    <row r="2268" s="99" customFormat="1" x14ac:dyDescent="0.25"/>
    <row r="2269" s="99" customFormat="1" x14ac:dyDescent="0.25"/>
    <row r="2270" s="99" customFormat="1" x14ac:dyDescent="0.25"/>
    <row r="2271" s="99" customFormat="1" x14ac:dyDescent="0.25"/>
    <row r="2272" s="99" customFormat="1" x14ac:dyDescent="0.25"/>
    <row r="2273" s="99" customFormat="1" x14ac:dyDescent="0.25"/>
    <row r="2274" s="99" customFormat="1" x14ac:dyDescent="0.25"/>
    <row r="2275" s="99" customFormat="1" x14ac:dyDescent="0.25"/>
    <row r="2276" s="99" customFormat="1" x14ac:dyDescent="0.25"/>
    <row r="2277" s="99" customFormat="1" x14ac:dyDescent="0.25"/>
    <row r="2278" s="99" customFormat="1" x14ac:dyDescent="0.25"/>
    <row r="2279" s="99" customFormat="1" x14ac:dyDescent="0.25"/>
    <row r="2280" s="99" customFormat="1" x14ac:dyDescent="0.25"/>
    <row r="2281" s="99" customFormat="1" x14ac:dyDescent="0.25"/>
    <row r="2282" s="99" customFormat="1" x14ac:dyDescent="0.25"/>
    <row r="2283" s="99" customFormat="1" x14ac:dyDescent="0.25"/>
    <row r="2284" s="99" customFormat="1" x14ac:dyDescent="0.25"/>
    <row r="2285" s="99" customFormat="1" x14ac:dyDescent="0.25"/>
    <row r="2286" s="99" customFormat="1" x14ac:dyDescent="0.25"/>
    <row r="2287" s="99" customFormat="1" x14ac:dyDescent="0.25"/>
    <row r="2288" s="99" customFormat="1" x14ac:dyDescent="0.25"/>
    <row r="2289" s="99" customFormat="1" x14ac:dyDescent="0.25"/>
    <row r="2290" s="99" customFormat="1" x14ac:dyDescent="0.25"/>
    <row r="2291" s="99" customFormat="1" x14ac:dyDescent="0.25"/>
    <row r="2292" s="99" customFormat="1" x14ac:dyDescent="0.25"/>
    <row r="2293" s="99" customFormat="1" x14ac:dyDescent="0.25"/>
    <row r="2294" s="99" customFormat="1" x14ac:dyDescent="0.25"/>
    <row r="2295" s="99" customFormat="1" x14ac:dyDescent="0.25"/>
    <row r="2296" s="99" customFormat="1" x14ac:dyDescent="0.25"/>
    <row r="2297" s="99" customFormat="1" x14ac:dyDescent="0.25"/>
    <row r="2298" s="99" customFormat="1" x14ac:dyDescent="0.25"/>
    <row r="2299" s="99" customFormat="1" x14ac:dyDescent="0.25"/>
    <row r="2300" s="99" customFormat="1" x14ac:dyDescent="0.25"/>
    <row r="2301" s="99" customFormat="1" x14ac:dyDescent="0.25"/>
    <row r="2302" s="99" customFormat="1" x14ac:dyDescent="0.25"/>
    <row r="2303" s="99" customFormat="1" x14ac:dyDescent="0.25"/>
    <row r="2304" s="99" customFormat="1" x14ac:dyDescent="0.25"/>
    <row r="2305" s="99" customFormat="1" x14ac:dyDescent="0.25"/>
    <row r="2306" s="99" customFormat="1" x14ac:dyDescent="0.25"/>
    <row r="2307" s="99" customFormat="1" x14ac:dyDescent="0.25"/>
    <row r="2308" s="99" customFormat="1" x14ac:dyDescent="0.25"/>
    <row r="2309" s="99" customFormat="1" x14ac:dyDescent="0.25"/>
    <row r="2310" s="99" customFormat="1" x14ac:dyDescent="0.25"/>
    <row r="2311" s="99" customFormat="1" x14ac:dyDescent="0.25"/>
    <row r="2312" s="99" customFormat="1" x14ac:dyDescent="0.25"/>
    <row r="2313" s="99" customFormat="1" x14ac:dyDescent="0.25"/>
    <row r="2314" s="99" customFormat="1" x14ac:dyDescent="0.25"/>
    <row r="2315" s="99" customFormat="1" x14ac:dyDescent="0.25"/>
    <row r="2316" s="99" customFormat="1" x14ac:dyDescent="0.25"/>
    <row r="2317" s="99" customFormat="1" x14ac:dyDescent="0.25"/>
    <row r="2318" s="99" customFormat="1" x14ac:dyDescent="0.25"/>
    <row r="2319" s="99" customFormat="1" x14ac:dyDescent="0.25"/>
    <row r="2320" s="99" customFormat="1" x14ac:dyDescent="0.25"/>
    <row r="2321" s="99" customFormat="1" x14ac:dyDescent="0.25"/>
    <row r="2322" s="99" customFormat="1" x14ac:dyDescent="0.25"/>
    <row r="2323" s="99" customFormat="1" x14ac:dyDescent="0.25"/>
    <row r="2324" s="99" customFormat="1" x14ac:dyDescent="0.25"/>
    <row r="2325" s="99" customFormat="1" x14ac:dyDescent="0.25"/>
    <row r="2326" s="99" customFormat="1" x14ac:dyDescent="0.25"/>
    <row r="2327" s="99" customFormat="1" x14ac:dyDescent="0.25"/>
    <row r="2328" s="99" customFormat="1" x14ac:dyDescent="0.25"/>
    <row r="2329" s="99" customFormat="1" x14ac:dyDescent="0.25"/>
    <row r="2330" s="99" customFormat="1" x14ac:dyDescent="0.25"/>
    <row r="2331" s="99" customFormat="1" x14ac:dyDescent="0.25"/>
    <row r="2332" s="99" customFormat="1" x14ac:dyDescent="0.25"/>
    <row r="2333" s="99" customFormat="1" x14ac:dyDescent="0.25"/>
    <row r="2334" s="99" customFormat="1" x14ac:dyDescent="0.25"/>
    <row r="2335" s="99" customFormat="1" x14ac:dyDescent="0.25"/>
    <row r="2336" s="99" customFormat="1" x14ac:dyDescent="0.25"/>
    <row r="2337" s="99" customFormat="1" x14ac:dyDescent="0.25"/>
    <row r="2338" s="99" customFormat="1" x14ac:dyDescent="0.25"/>
    <row r="2339" s="99" customFormat="1" x14ac:dyDescent="0.25"/>
    <row r="2340" s="99" customFormat="1" x14ac:dyDescent="0.25"/>
    <row r="2341" s="99" customFormat="1" x14ac:dyDescent="0.25"/>
    <row r="2342" s="99" customFormat="1" x14ac:dyDescent="0.25"/>
    <row r="2343" s="99" customFormat="1" x14ac:dyDescent="0.25"/>
    <row r="2344" s="99" customFormat="1" x14ac:dyDescent="0.25"/>
    <row r="2345" s="99" customFormat="1" x14ac:dyDescent="0.25"/>
    <row r="2346" s="99" customFormat="1" x14ac:dyDescent="0.25"/>
    <row r="2347" s="99" customFormat="1" x14ac:dyDescent="0.25"/>
    <row r="2348" s="99" customFormat="1" x14ac:dyDescent="0.25"/>
    <row r="2349" s="99" customFormat="1" x14ac:dyDescent="0.25"/>
    <row r="2350" s="99" customFormat="1" x14ac:dyDescent="0.25"/>
    <row r="2351" s="99" customFormat="1" x14ac:dyDescent="0.25"/>
    <row r="2352" s="99" customFormat="1" x14ac:dyDescent="0.25"/>
    <row r="2353" s="99" customFormat="1" x14ac:dyDescent="0.25"/>
    <row r="2354" s="99" customFormat="1" x14ac:dyDescent="0.25"/>
    <row r="2355" s="99" customFormat="1" x14ac:dyDescent="0.25"/>
    <row r="2356" s="99" customFormat="1" x14ac:dyDescent="0.25"/>
    <row r="2357" s="99" customFormat="1" x14ac:dyDescent="0.25"/>
    <row r="2358" s="99" customFormat="1" x14ac:dyDescent="0.25"/>
    <row r="2359" s="99" customFormat="1" x14ac:dyDescent="0.25"/>
    <row r="2360" s="99" customFormat="1" x14ac:dyDescent="0.25"/>
    <row r="2361" s="99" customFormat="1" x14ac:dyDescent="0.25"/>
    <row r="2362" s="99" customFormat="1" x14ac:dyDescent="0.25"/>
    <row r="2363" s="99" customFormat="1" x14ac:dyDescent="0.25"/>
    <row r="2364" s="99" customFormat="1" x14ac:dyDescent="0.25"/>
    <row r="2365" s="99" customFormat="1" x14ac:dyDescent="0.25"/>
    <row r="2366" s="99" customFormat="1" x14ac:dyDescent="0.25"/>
    <row r="2367" s="99" customFormat="1" x14ac:dyDescent="0.25"/>
    <row r="2368" s="99" customFormat="1" x14ac:dyDescent="0.25"/>
    <row r="2369" s="99" customFormat="1" x14ac:dyDescent="0.25"/>
    <row r="2370" s="99" customFormat="1" x14ac:dyDescent="0.25"/>
    <row r="2371" s="99" customFormat="1" x14ac:dyDescent="0.25"/>
    <row r="2372" s="99" customFormat="1" x14ac:dyDescent="0.25"/>
    <row r="2373" s="99" customFormat="1" x14ac:dyDescent="0.25"/>
    <row r="2374" s="99" customFormat="1" x14ac:dyDescent="0.25"/>
    <row r="2375" s="99" customFormat="1" x14ac:dyDescent="0.25"/>
    <row r="2376" s="99" customFormat="1" x14ac:dyDescent="0.25"/>
    <row r="2377" s="99" customFormat="1" x14ac:dyDescent="0.25"/>
    <row r="2378" s="99" customFormat="1" x14ac:dyDescent="0.25"/>
    <row r="2379" s="99" customFormat="1" x14ac:dyDescent="0.25"/>
    <row r="2380" s="99" customFormat="1" x14ac:dyDescent="0.25"/>
    <row r="2381" s="99" customFormat="1" x14ac:dyDescent="0.25"/>
    <row r="2382" s="99" customFormat="1" x14ac:dyDescent="0.25"/>
    <row r="2383" s="99" customFormat="1" x14ac:dyDescent="0.25"/>
    <row r="2384" s="99" customFormat="1" x14ac:dyDescent="0.25"/>
    <row r="2385" s="99" customFormat="1" x14ac:dyDescent="0.25"/>
    <row r="2386" s="99" customFormat="1" x14ac:dyDescent="0.25"/>
    <row r="2387" s="99" customFormat="1" x14ac:dyDescent="0.25"/>
    <row r="2388" s="99" customFormat="1" x14ac:dyDescent="0.25"/>
    <row r="2389" s="99" customFormat="1" x14ac:dyDescent="0.25"/>
    <row r="2390" s="99" customFormat="1" x14ac:dyDescent="0.25"/>
    <row r="2391" s="99" customFormat="1" x14ac:dyDescent="0.25"/>
    <row r="2392" s="99" customFormat="1" x14ac:dyDescent="0.25"/>
    <row r="2393" s="99" customFormat="1" x14ac:dyDescent="0.25"/>
    <row r="2394" s="99" customFormat="1" x14ac:dyDescent="0.25"/>
    <row r="2395" s="99" customFormat="1" x14ac:dyDescent="0.25"/>
    <row r="2396" s="99" customFormat="1" x14ac:dyDescent="0.25"/>
    <row r="2397" s="99" customFormat="1" x14ac:dyDescent="0.25"/>
    <row r="2398" s="99" customFormat="1" x14ac:dyDescent="0.25"/>
    <row r="2399" s="99" customFormat="1" x14ac:dyDescent="0.25"/>
    <row r="2400" s="99" customFormat="1" x14ac:dyDescent="0.25"/>
    <row r="2401" s="99" customFormat="1" x14ac:dyDescent="0.25"/>
    <row r="2402" s="99" customFormat="1" x14ac:dyDescent="0.25"/>
    <row r="2403" s="99" customFormat="1" x14ac:dyDescent="0.25"/>
    <row r="2404" s="99" customFormat="1" x14ac:dyDescent="0.25"/>
    <row r="2405" s="99" customFormat="1" x14ac:dyDescent="0.25"/>
    <row r="2406" s="99" customFormat="1" x14ac:dyDescent="0.25"/>
    <row r="2407" s="99" customFormat="1" x14ac:dyDescent="0.25"/>
    <row r="2408" s="99" customFormat="1" x14ac:dyDescent="0.25"/>
    <row r="2409" s="99" customFormat="1" x14ac:dyDescent="0.25"/>
    <row r="2410" s="99" customFormat="1" x14ac:dyDescent="0.25"/>
    <row r="2411" s="99" customFormat="1" x14ac:dyDescent="0.25"/>
    <row r="2412" s="99" customFormat="1" x14ac:dyDescent="0.25"/>
    <row r="2413" s="99" customFormat="1" x14ac:dyDescent="0.25"/>
    <row r="2414" s="99" customFormat="1" x14ac:dyDescent="0.25"/>
    <row r="2415" s="99" customFormat="1" x14ac:dyDescent="0.25"/>
    <row r="2416" s="99" customFormat="1" x14ac:dyDescent="0.25"/>
    <row r="2417" s="99" customFormat="1" x14ac:dyDescent="0.25"/>
    <row r="2418" s="99" customFormat="1" x14ac:dyDescent="0.25"/>
    <row r="2419" s="99" customFormat="1" x14ac:dyDescent="0.25"/>
    <row r="2420" s="99" customFormat="1" x14ac:dyDescent="0.25"/>
    <row r="2421" s="99" customFormat="1" x14ac:dyDescent="0.25"/>
    <row r="2422" s="99" customFormat="1" x14ac:dyDescent="0.25"/>
    <row r="2423" s="99" customFormat="1" x14ac:dyDescent="0.25"/>
    <row r="2424" s="99" customFormat="1" x14ac:dyDescent="0.25"/>
    <row r="2425" s="99" customFormat="1" x14ac:dyDescent="0.25"/>
    <row r="2426" s="99" customFormat="1" x14ac:dyDescent="0.25"/>
    <row r="2427" s="99" customFormat="1" x14ac:dyDescent="0.25"/>
    <row r="2428" s="99" customFormat="1" x14ac:dyDescent="0.25"/>
    <row r="2429" s="99" customFormat="1" x14ac:dyDescent="0.25"/>
    <row r="2430" s="99" customFormat="1" x14ac:dyDescent="0.25"/>
    <row r="2431" s="99" customFormat="1" x14ac:dyDescent="0.25"/>
    <row r="2432" s="99" customFormat="1" x14ac:dyDescent="0.25"/>
    <row r="2433" s="99" customFormat="1" x14ac:dyDescent="0.25"/>
    <row r="2434" s="99" customFormat="1" x14ac:dyDescent="0.25"/>
    <row r="2435" s="99" customFormat="1" x14ac:dyDescent="0.25"/>
    <row r="2436" s="99" customFormat="1" x14ac:dyDescent="0.25"/>
    <row r="2437" s="99" customFormat="1" x14ac:dyDescent="0.25"/>
    <row r="2438" s="99" customFormat="1" x14ac:dyDescent="0.25"/>
    <row r="2439" s="99" customFormat="1" x14ac:dyDescent="0.25"/>
    <row r="2440" s="99" customFormat="1" x14ac:dyDescent="0.25"/>
    <row r="2441" s="99" customFormat="1" x14ac:dyDescent="0.25"/>
    <row r="2442" s="99" customFormat="1" x14ac:dyDescent="0.25"/>
    <row r="2443" s="99" customFormat="1" x14ac:dyDescent="0.25"/>
    <row r="2444" s="99" customFormat="1" x14ac:dyDescent="0.25"/>
    <row r="2445" s="99" customFormat="1" x14ac:dyDescent="0.25"/>
    <row r="2446" s="99" customFormat="1" x14ac:dyDescent="0.25"/>
    <row r="2447" s="99" customFormat="1" x14ac:dyDescent="0.25"/>
    <row r="2448" s="99" customFormat="1" x14ac:dyDescent="0.25"/>
    <row r="2449" s="99" customFormat="1" x14ac:dyDescent="0.25"/>
    <row r="2450" s="99" customFormat="1" x14ac:dyDescent="0.25"/>
    <row r="2451" s="99" customFormat="1" x14ac:dyDescent="0.25"/>
    <row r="2452" s="99" customFormat="1" x14ac:dyDescent="0.25"/>
    <row r="2453" s="99" customFormat="1" x14ac:dyDescent="0.25"/>
    <row r="2454" s="99" customFormat="1" x14ac:dyDescent="0.25"/>
    <row r="2455" s="99" customFormat="1" x14ac:dyDescent="0.25"/>
    <row r="2456" s="99" customFormat="1" x14ac:dyDescent="0.25"/>
    <row r="2457" s="99" customFormat="1" x14ac:dyDescent="0.25"/>
    <row r="2458" s="99" customFormat="1" x14ac:dyDescent="0.25"/>
    <row r="2459" s="99" customFormat="1" x14ac:dyDescent="0.25"/>
    <row r="2460" s="99" customFormat="1" x14ac:dyDescent="0.25"/>
    <row r="2461" s="99" customFormat="1" x14ac:dyDescent="0.25"/>
    <row r="2462" s="99" customFormat="1" x14ac:dyDescent="0.25"/>
    <row r="2463" s="99" customFormat="1" x14ac:dyDescent="0.25"/>
    <row r="2464" s="99" customFormat="1" x14ac:dyDescent="0.25"/>
    <row r="2465" s="99" customFormat="1" x14ac:dyDescent="0.25"/>
    <row r="2466" s="99" customFormat="1" x14ac:dyDescent="0.25"/>
    <row r="2467" s="99" customFormat="1" x14ac:dyDescent="0.25"/>
    <row r="2468" s="99" customFormat="1" x14ac:dyDescent="0.25"/>
    <row r="2469" s="99" customFormat="1" x14ac:dyDescent="0.25"/>
    <row r="2470" s="99" customFormat="1" x14ac:dyDescent="0.25"/>
    <row r="2471" s="99" customFormat="1" x14ac:dyDescent="0.25"/>
    <row r="2472" s="99" customFormat="1" x14ac:dyDescent="0.25"/>
    <row r="2473" s="99" customFormat="1" x14ac:dyDescent="0.25"/>
    <row r="2474" s="99" customFormat="1" x14ac:dyDescent="0.25"/>
    <row r="2475" s="99" customFormat="1" x14ac:dyDescent="0.25"/>
    <row r="2476" s="99" customFormat="1" x14ac:dyDescent="0.25"/>
    <row r="2477" s="99" customFormat="1" x14ac:dyDescent="0.25"/>
    <row r="2478" s="99" customFormat="1" x14ac:dyDescent="0.25"/>
    <row r="2479" s="99" customFormat="1" x14ac:dyDescent="0.25"/>
    <row r="2480" s="99" customFormat="1" x14ac:dyDescent="0.25"/>
    <row r="2481" spans="2:3" s="99" customFormat="1" x14ac:dyDescent="0.25"/>
    <row r="2482" spans="2:3" s="99" customFormat="1" x14ac:dyDescent="0.25"/>
    <row r="2483" spans="2:3" s="99" customFormat="1" x14ac:dyDescent="0.25"/>
    <row r="2484" spans="2:3" s="99" customFormat="1" x14ac:dyDescent="0.25">
      <c r="B2484" s="100"/>
      <c r="C2484" s="100"/>
    </row>
  </sheetData>
  <mergeCells count="5">
    <mergeCell ref="A1:F1"/>
    <mergeCell ref="A2:D2"/>
    <mergeCell ref="E2:F2"/>
    <mergeCell ref="C4:D4"/>
    <mergeCell ref="E4:F4"/>
  </mergeCells>
  <pageMargins left="0.70866141732283472" right="0.70866141732283472" top="0.86614173228346458" bottom="0.74803149606299213" header="0.31496062992125984" footer="0.31496062992125984"/>
  <pageSetup paperSize="9" scale="85" orientation="landscape" r:id="rId1"/>
  <headerFooter>
    <oddHeader>&amp;L&amp;G</oddHeader>
  </headerFooter>
  <rowBreaks count="1" manualBreakCount="1">
    <brk id="23" max="5" man="1"/>
  </rowBreaks>
  <legacyDrawing r:id="rId2"/>
  <legacyDrawingHF r:id="rId3"/>
  <tableParts count="2"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outlinePr summaryBelow="0" summaryRight="0"/>
  </sheetPr>
  <dimension ref="A1:BA101"/>
  <sheetViews>
    <sheetView workbookViewId="0">
      <pane xSplit="8" ySplit="2" topLeftCell="I3" activePane="bottomRight" state="frozen"/>
      <selection activeCell="L4" sqref="L4"/>
      <selection pane="topRight" activeCell="L4" sqref="L4"/>
      <selection pane="bottomLeft" activeCell="L4" sqref="L4"/>
      <selection pane="bottomRight" activeCell="E6" sqref="E6"/>
    </sheetView>
  </sheetViews>
  <sheetFormatPr baseColWidth="10" defaultRowHeight="15" outlineLevelCol="1" x14ac:dyDescent="0.25"/>
  <cols>
    <col min="1" max="1" width="6" customWidth="1"/>
    <col min="2" max="2" width="33.85546875" customWidth="1"/>
    <col min="3" max="3" width="7" style="4" customWidth="1"/>
    <col min="4" max="4" width="11.42578125" style="1"/>
    <col min="5" max="5" width="20.5703125" customWidth="1"/>
    <col min="6" max="6" width="17.7109375" customWidth="1"/>
    <col min="7" max="7" width="19.85546875" customWidth="1"/>
    <col min="8" max="8" width="16.28515625" customWidth="1" collapsed="1"/>
    <col min="9" max="9" width="12.7109375" hidden="1" customWidth="1" outlineLevel="1"/>
    <col min="10" max="32" width="11.42578125" hidden="1" customWidth="1" outlineLevel="1"/>
  </cols>
  <sheetData>
    <row r="1" spans="1:53" ht="26.25" x14ac:dyDescent="0.4">
      <c r="A1" s="18" t="s">
        <v>62</v>
      </c>
      <c r="E1" s="20"/>
      <c r="F1" s="2"/>
      <c r="H1" s="10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53" x14ac:dyDescent="0.25">
      <c r="A2" s="33" t="s">
        <v>1</v>
      </c>
      <c r="B2" s="33" t="s">
        <v>35</v>
      </c>
      <c r="C2" s="33" t="s">
        <v>26</v>
      </c>
      <c r="D2" s="34" t="s">
        <v>36</v>
      </c>
      <c r="E2" s="33" t="s">
        <v>38</v>
      </c>
      <c r="F2" s="33" t="s">
        <v>40</v>
      </c>
      <c r="G2" s="33" t="s">
        <v>33</v>
      </c>
      <c r="H2" s="33" t="s">
        <v>41</v>
      </c>
      <c r="I2" s="4" t="s">
        <v>3</v>
      </c>
      <c r="J2" s="4" t="s">
        <v>4</v>
      </c>
      <c r="K2" s="4" t="s">
        <v>5</v>
      </c>
      <c r="L2" s="4" t="s">
        <v>6</v>
      </c>
      <c r="M2" s="4" t="s">
        <v>7</v>
      </c>
      <c r="N2" s="4" t="s">
        <v>8</v>
      </c>
      <c r="O2" s="4" t="s">
        <v>9</v>
      </c>
      <c r="P2" s="4" t="s">
        <v>10</v>
      </c>
      <c r="Q2" s="4" t="s">
        <v>11</v>
      </c>
      <c r="R2" s="4" t="s">
        <v>12</v>
      </c>
      <c r="S2" s="4" t="s">
        <v>13</v>
      </c>
      <c r="T2" s="4" t="s">
        <v>14</v>
      </c>
      <c r="U2" s="4" t="s">
        <v>15</v>
      </c>
      <c r="V2" s="4" t="s">
        <v>16</v>
      </c>
      <c r="W2" s="4" t="s">
        <v>17</v>
      </c>
      <c r="X2" s="4" t="s">
        <v>18</v>
      </c>
      <c r="Y2" s="4" t="s">
        <v>19</v>
      </c>
      <c r="Z2" s="4" t="s">
        <v>20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5">
      <c r="A3" s="35"/>
      <c r="B3" s="35"/>
      <c r="C3" s="36"/>
      <c r="D3" s="37"/>
      <c r="E3" s="37"/>
      <c r="F3" s="38">
        <f>Installation_Chantier2[[#This Row],[Prix unitaire (HT)]]*Installation_Chantier2[[#This Row],[Qté]]</f>
        <v>0</v>
      </c>
      <c r="G3" s="35"/>
      <c r="H3" s="39">
        <f>SUM(Installation_Chantier2[[#This Row],[M01]:[M24]])</f>
        <v>0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 ht="15.75" x14ac:dyDescent="0.25">
      <c r="D4" s="52"/>
      <c r="E4" s="52"/>
      <c r="F4" s="52"/>
      <c r="H4" s="44" t="s">
        <v>43</v>
      </c>
      <c r="I4" s="45">
        <f ca="1">IFERROR(SUMPRODUCT(INDIRECT("Installation_Chantier2[Prix total (HT)]"),Installation_Chantier2[M01]),0)</f>
        <v>0</v>
      </c>
      <c r="J4" s="45">
        <f ca="1">IFERROR(SUMPRODUCT(INDIRECT("Installation_Chantier2[Prix total (HT)]"),Installation_Chantier2[M02]),0)</f>
        <v>0</v>
      </c>
      <c r="K4" s="45">
        <f ca="1">IFERROR(SUMPRODUCT(INDIRECT("Installation_Chantier2[Prix total (HT)]"),Installation_Chantier2[M03]),0)</f>
        <v>0</v>
      </c>
      <c r="L4" s="45">
        <f ca="1">IFERROR(SUMPRODUCT(INDIRECT("Installation_Chantier2[Prix total (HT)]"),Installation_Chantier2[M04]),0)</f>
        <v>0</v>
      </c>
      <c r="M4" s="45">
        <f ca="1">IFERROR(SUMPRODUCT(INDIRECT("Installation_Chantier2[Prix total (HT)]"),Installation_Chantier2[M05]),0)</f>
        <v>0</v>
      </c>
      <c r="N4" s="45">
        <f ca="1">IFERROR(SUMPRODUCT(INDIRECT("Installation_Chantier2[Prix total (HT)]"),Installation_Chantier2[M06]),0)</f>
        <v>0</v>
      </c>
      <c r="O4" s="45">
        <f ca="1">IFERROR(SUMPRODUCT(INDIRECT("Installation_Chantier2[Prix total (HT)]"),Installation_Chantier2[M07]),0)</f>
        <v>0</v>
      </c>
      <c r="P4" s="45">
        <f ca="1">IFERROR(SUMPRODUCT(INDIRECT("Installation_Chantier2[Prix total (HT)]"),Installation_Chantier2[M08]),0)</f>
        <v>0</v>
      </c>
      <c r="Q4" s="45">
        <f ca="1">IFERROR(SUMPRODUCT(INDIRECT("Installation_Chantier2[Prix total (HT)]"),Installation_Chantier2[M09]),0)</f>
        <v>0</v>
      </c>
      <c r="R4" s="45">
        <f ca="1">IFERROR(SUMPRODUCT(INDIRECT("Installation_Chantier2[Prix total (HT)]"),Installation_Chantier2[M10]),0)</f>
        <v>0</v>
      </c>
      <c r="S4" s="45">
        <f ca="1">IFERROR(SUMPRODUCT(INDIRECT("Installation_Chantier2[Prix total (HT)]"),Installation_Chantier2[M11]),0)</f>
        <v>0</v>
      </c>
      <c r="T4" s="45">
        <f ca="1">IFERROR(SUMPRODUCT(INDIRECT("Installation_Chantier2[Prix total (HT)]"),Installation_Chantier2[M12]),0)</f>
        <v>0</v>
      </c>
      <c r="U4" s="45">
        <f ca="1">IFERROR(SUMPRODUCT(INDIRECT("Installation_Chantier2[Prix total (HT)]"),Installation_Chantier2[M13]),0)</f>
        <v>0</v>
      </c>
      <c r="V4" s="45">
        <f ca="1">IFERROR(SUMPRODUCT(INDIRECT("Installation_Chantier2[Prix total (HT)]"),Installation_Chantier2[M14]),0)</f>
        <v>0</v>
      </c>
      <c r="W4" s="45">
        <f ca="1">IFERROR(SUMPRODUCT(INDIRECT("Installation_Chantier2[Prix total (HT)]"),Installation_Chantier2[M15]),0)</f>
        <v>0</v>
      </c>
      <c r="X4" s="45">
        <f ca="1">IFERROR(SUMPRODUCT(INDIRECT("Installation_Chantier2[Prix total (HT)]"),Installation_Chantier2[M16]),0)</f>
        <v>0</v>
      </c>
      <c r="Y4" s="45">
        <f ca="1">IFERROR(SUMPRODUCT(INDIRECT("Installation_Chantier2[Prix total (HT)]"),Installation_Chantier2[M17]),0)</f>
        <v>0</v>
      </c>
      <c r="Z4" s="45">
        <f ca="1">IFERROR(SUMPRODUCT(INDIRECT("Installation_Chantier2[Prix total (HT)]"),Installation_Chantier2[M18]),0)</f>
        <v>0</v>
      </c>
      <c r="AA4" s="45">
        <f ca="1">IFERROR(SUMPRODUCT(INDIRECT("Installation_Chantier2[Prix total (HT)]"),Installation_Chantier2[M19]),0)</f>
        <v>0</v>
      </c>
      <c r="AB4" s="45">
        <f ca="1">IFERROR(SUMPRODUCT(INDIRECT("Installation_Chantier2[Prix total (HT)]"),Installation_Chantier2[M20]),0)</f>
        <v>0</v>
      </c>
      <c r="AC4" s="45">
        <f ca="1">IFERROR(SUMPRODUCT(INDIRECT("Installation_Chantier2[Prix total (HT)]"),Installation_Chantier2[M21]),0)</f>
        <v>0</v>
      </c>
      <c r="AD4" s="45">
        <f ca="1">IFERROR(SUMPRODUCT(INDIRECT("Installation_Chantier2[Prix total (HT)]"),Installation_Chantier2[M22]),0)</f>
        <v>0</v>
      </c>
      <c r="AE4" s="45">
        <f ca="1">IFERROR(SUMPRODUCT(INDIRECT("Installation_Chantier2[Prix total (HT)]"),Installation_Chantier2[M23]),0)</f>
        <v>0</v>
      </c>
      <c r="AF4" s="45">
        <f ca="1">IFERROR(SUMPRODUCT(INDIRECT("Installation_Chantier2[Prix total (HT)]"),Installation_Chantier2[M24]),0)</f>
        <v>0</v>
      </c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3" x14ac:dyDescent="0.25"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3" x14ac:dyDescent="0.25"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x14ac:dyDescent="0.25"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 x14ac:dyDescent="0.25"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x14ac:dyDescent="0.25"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x14ac:dyDescent="0.25"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x14ac:dyDescent="0.25"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x14ac:dyDescent="0.25"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1:53" x14ac:dyDescent="0.25"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</row>
    <row r="14" spans="1:53" x14ac:dyDescent="0.25"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</row>
    <row r="15" spans="1:53" x14ac:dyDescent="0.25"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</row>
    <row r="16" spans="1:53" x14ac:dyDescent="0.25"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</row>
    <row r="17" spans="33:53" x14ac:dyDescent="0.25"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</row>
    <row r="18" spans="33:53" x14ac:dyDescent="0.25"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</row>
    <row r="19" spans="33:53" x14ac:dyDescent="0.25"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</row>
    <row r="20" spans="33:53" x14ac:dyDescent="0.25"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</row>
    <row r="21" spans="33:53" x14ac:dyDescent="0.25"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</row>
    <row r="22" spans="33:53" x14ac:dyDescent="0.25"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</row>
    <row r="23" spans="33:53" x14ac:dyDescent="0.25"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33:53" x14ac:dyDescent="0.25"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</row>
    <row r="25" spans="33:53" x14ac:dyDescent="0.25"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  <row r="26" spans="33:53" x14ac:dyDescent="0.25"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</row>
    <row r="27" spans="33:53" x14ac:dyDescent="0.25"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33:53" x14ac:dyDescent="0.25"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</row>
    <row r="29" spans="33:53" x14ac:dyDescent="0.25"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</row>
    <row r="30" spans="33:53" x14ac:dyDescent="0.25"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</row>
    <row r="31" spans="33:53" x14ac:dyDescent="0.25"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</row>
    <row r="32" spans="33:53" x14ac:dyDescent="0.25"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</row>
    <row r="33" spans="33:53" x14ac:dyDescent="0.25"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</row>
    <row r="34" spans="33:53" x14ac:dyDescent="0.25"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</row>
    <row r="35" spans="33:53" x14ac:dyDescent="0.25"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</row>
    <row r="36" spans="33:53" x14ac:dyDescent="0.25"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</row>
    <row r="37" spans="33:53" x14ac:dyDescent="0.25"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</row>
    <row r="38" spans="33:53" x14ac:dyDescent="0.25"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</row>
    <row r="39" spans="33:53" x14ac:dyDescent="0.25"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</row>
    <row r="40" spans="33:53" x14ac:dyDescent="0.25"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spans="33:53" x14ac:dyDescent="0.25"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spans="33:53" x14ac:dyDescent="0.25"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spans="33:53" x14ac:dyDescent="0.25"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</row>
    <row r="44" spans="33:53" x14ac:dyDescent="0.25"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</row>
    <row r="45" spans="33:53" x14ac:dyDescent="0.25"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</row>
    <row r="46" spans="33:53" x14ac:dyDescent="0.25"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spans="33:53" x14ac:dyDescent="0.25"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spans="33:53" x14ac:dyDescent="0.25"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</row>
    <row r="49" spans="33:53" x14ac:dyDescent="0.25"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33:53" x14ac:dyDescent="0.25"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</row>
    <row r="51" spans="33:53" x14ac:dyDescent="0.25"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spans="33:53" x14ac:dyDescent="0.25"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spans="33:53" x14ac:dyDescent="0.25"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spans="33:53" x14ac:dyDescent="0.25"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spans="33:53" x14ac:dyDescent="0.25"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spans="33:53" x14ac:dyDescent="0.25"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spans="33:53" x14ac:dyDescent="0.25"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spans="33:53" x14ac:dyDescent="0.25"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spans="33:53" x14ac:dyDescent="0.25"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</row>
    <row r="60" spans="33:53" x14ac:dyDescent="0.25"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1" spans="33:53" x14ac:dyDescent="0.25"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</row>
    <row r="62" spans="33:53" x14ac:dyDescent="0.25"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</row>
    <row r="63" spans="33:53" x14ac:dyDescent="0.25"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</row>
    <row r="64" spans="33:53" x14ac:dyDescent="0.25"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</row>
    <row r="65" spans="33:53" x14ac:dyDescent="0.25"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</row>
    <row r="66" spans="33:53" x14ac:dyDescent="0.25"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</row>
    <row r="67" spans="33:53" x14ac:dyDescent="0.25"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</row>
    <row r="68" spans="33:53" x14ac:dyDescent="0.25"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spans="33:53" x14ac:dyDescent="0.25"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spans="33:53" x14ac:dyDescent="0.25"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</row>
    <row r="71" spans="33:53" x14ac:dyDescent="0.25"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</row>
    <row r="72" spans="33:53" x14ac:dyDescent="0.25"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</row>
    <row r="73" spans="33:53" x14ac:dyDescent="0.25"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</row>
    <row r="74" spans="33:53" x14ac:dyDescent="0.25"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</row>
    <row r="75" spans="33:53" x14ac:dyDescent="0.25"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</row>
    <row r="76" spans="33:53" x14ac:dyDescent="0.25"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</row>
    <row r="77" spans="33:53" x14ac:dyDescent="0.25"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</row>
    <row r="78" spans="33:53" x14ac:dyDescent="0.25"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</row>
    <row r="79" spans="33:53" x14ac:dyDescent="0.25"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</row>
    <row r="80" spans="33:53" x14ac:dyDescent="0.25"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</row>
    <row r="81" spans="33:53" x14ac:dyDescent="0.25"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</row>
    <row r="82" spans="33:53" x14ac:dyDescent="0.25"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</row>
    <row r="83" spans="33:53" x14ac:dyDescent="0.25"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spans="33:53" x14ac:dyDescent="0.25"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spans="33:53" x14ac:dyDescent="0.25"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</row>
    <row r="86" spans="33:53" x14ac:dyDescent="0.25"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</row>
    <row r="87" spans="33:53" x14ac:dyDescent="0.25"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</row>
    <row r="88" spans="33:53" x14ac:dyDescent="0.25"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</row>
    <row r="89" spans="33:53" x14ac:dyDescent="0.25"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</row>
    <row r="90" spans="33:53" x14ac:dyDescent="0.25"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</row>
    <row r="91" spans="33:53" x14ac:dyDescent="0.25"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</row>
    <row r="92" spans="33:53" x14ac:dyDescent="0.25"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</row>
    <row r="93" spans="33:53" x14ac:dyDescent="0.25"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</row>
    <row r="94" spans="33:53" x14ac:dyDescent="0.25"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</row>
    <row r="95" spans="33:53" x14ac:dyDescent="0.25"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</row>
    <row r="96" spans="33:53" x14ac:dyDescent="0.25"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</row>
    <row r="97" spans="33:53" x14ac:dyDescent="0.25"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</row>
    <row r="98" spans="33:53" x14ac:dyDescent="0.25"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</row>
    <row r="99" spans="33:53" x14ac:dyDescent="0.25"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</row>
    <row r="100" spans="33:53" x14ac:dyDescent="0.25"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</row>
    <row r="101" spans="33:53" x14ac:dyDescent="0.25"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1D8D5-638D-4AB1-A411-881252212165}">
  <sheetPr>
    <outlinePr summaryBelow="0" summaryRight="0"/>
    <pageSetUpPr fitToPage="1"/>
  </sheetPr>
  <dimension ref="A1:V142"/>
  <sheetViews>
    <sheetView zoomScale="130" zoomScaleNormal="130" workbookViewId="0">
      <pane xSplit="8" ySplit="3" topLeftCell="I132" activePane="bottomRight" state="frozen"/>
      <selection pane="topRight" activeCell="I1" sqref="I1"/>
      <selection pane="bottomLeft" activeCell="A3" sqref="A3"/>
      <selection pane="bottomRight" activeCell="C136" sqref="C136"/>
    </sheetView>
  </sheetViews>
  <sheetFormatPr baseColWidth="10" defaultColWidth="9.140625" defaultRowHeight="15" outlineLevelCol="1" x14ac:dyDescent="0.25"/>
  <cols>
    <col min="1" max="1" width="1.85546875" style="63" customWidth="1"/>
    <col min="2" max="2" width="5.140625" style="63" customWidth="1"/>
    <col min="3" max="3" width="47.140625" style="74" bestFit="1" customWidth="1"/>
    <col min="4" max="4" width="16" style="74" customWidth="1"/>
    <col min="5" max="5" width="7.5703125" style="63" customWidth="1"/>
    <col min="6" max="6" width="9.28515625" style="222" customWidth="1"/>
    <col min="7" max="7" width="14.28515625" style="75" customWidth="1"/>
    <col min="8" max="8" width="11.85546875" style="75" customWidth="1"/>
    <col min="9" max="9" width="20.7109375" style="94" customWidth="1" outlineLevel="1"/>
    <col min="10" max="10" width="16.42578125" style="77" customWidth="1" outlineLevel="1"/>
    <col min="11" max="11" width="15.42578125" style="77" bestFit="1" customWidth="1" outlineLevel="1"/>
    <col min="12" max="12" width="17.7109375" style="77" customWidth="1" outlineLevel="1"/>
    <col min="13" max="13" width="16.7109375" style="77" customWidth="1" outlineLevel="1"/>
    <col min="14" max="14" width="10.7109375" style="77" customWidth="1" outlineLevel="1"/>
    <col min="15" max="15" width="14.28515625" style="75" customWidth="1" outlineLevel="1"/>
    <col min="16" max="22" width="12" style="63" customWidth="1" outlineLevel="1"/>
    <col min="23" max="16384" width="9.140625" style="63"/>
  </cols>
  <sheetData>
    <row r="1" spans="1:22" ht="26.25" x14ac:dyDescent="0.4">
      <c r="B1" s="62" t="s">
        <v>69</v>
      </c>
      <c r="I1" s="76"/>
      <c r="J1" s="75"/>
      <c r="L1" s="75"/>
      <c r="N1" s="64"/>
      <c r="O1" s="78"/>
      <c r="P1" s="78"/>
      <c r="Q1" s="78"/>
      <c r="R1" s="78"/>
      <c r="S1" s="78"/>
      <c r="T1" s="78"/>
      <c r="U1" s="78"/>
      <c r="V1" s="78"/>
    </row>
    <row r="2" spans="1:22" ht="23.25" customHeight="1" x14ac:dyDescent="0.4">
      <c r="B2" s="62"/>
      <c r="C2" s="79" t="s">
        <v>154</v>
      </c>
      <c r="I2" s="76"/>
      <c r="J2" s="75"/>
      <c r="L2" s="75"/>
      <c r="N2" s="64"/>
      <c r="O2" s="78"/>
      <c r="P2" s="78"/>
      <c r="Q2" s="78"/>
      <c r="R2" s="78"/>
      <c r="S2" s="78"/>
      <c r="T2" s="78"/>
      <c r="U2" s="78"/>
      <c r="V2" s="78"/>
    </row>
    <row r="3" spans="1:22" ht="30" x14ac:dyDescent="0.25">
      <c r="A3" s="80"/>
      <c r="B3" s="65" t="s">
        <v>1</v>
      </c>
      <c r="C3" s="65" t="s">
        <v>35</v>
      </c>
      <c r="D3" s="65" t="s">
        <v>121</v>
      </c>
      <c r="E3" s="65" t="s">
        <v>26</v>
      </c>
      <c r="F3" s="223" t="s">
        <v>36</v>
      </c>
      <c r="G3" s="65" t="s">
        <v>38</v>
      </c>
      <c r="H3" s="66" t="s">
        <v>60</v>
      </c>
      <c r="I3" s="65" t="s">
        <v>59</v>
      </c>
      <c r="J3" s="66" t="s">
        <v>139</v>
      </c>
      <c r="K3" s="66" t="s">
        <v>140</v>
      </c>
      <c r="L3" s="73" t="s">
        <v>161</v>
      </c>
      <c r="M3" s="81" t="s">
        <v>129</v>
      </c>
      <c r="N3" s="72" t="s">
        <v>130</v>
      </c>
      <c r="O3" s="72" t="s">
        <v>131</v>
      </c>
      <c r="P3" s="72" t="s">
        <v>132</v>
      </c>
      <c r="Q3" s="72" t="s">
        <v>133</v>
      </c>
      <c r="R3" s="72" t="s">
        <v>134</v>
      </c>
      <c r="S3" s="72" t="s">
        <v>135</v>
      </c>
      <c r="T3" s="72" t="s">
        <v>136</v>
      </c>
      <c r="U3" s="72" t="s">
        <v>137</v>
      </c>
      <c r="V3" s="72" t="s">
        <v>138</v>
      </c>
    </row>
    <row r="4" spans="1:22" ht="15.75" x14ac:dyDescent="0.25">
      <c r="A4" s="77"/>
      <c r="B4" s="82"/>
      <c r="C4" s="201" t="s">
        <v>225</v>
      </c>
      <c r="D4" s="202"/>
      <c r="E4" s="203"/>
      <c r="F4" s="224"/>
      <c r="G4" s="59"/>
      <c r="H4" s="83"/>
      <c r="I4" s="67"/>
      <c r="J4" s="68">
        <f>Achat18[[#This Row],[Prix total
  HD (HT)]]+Achat18[[#This Row],[Douane]]</f>
        <v>0</v>
      </c>
      <c r="K4" s="84" t="str">
        <f>IF(Achat18[[#This Row],[Prix total
Inc-Douane (1)]]=0, "",Achat18[[#This Row],[ACHAT ]]/Achat18[[#This Row],[Prix total
Inc-Douane (1)]])</f>
        <v/>
      </c>
      <c r="L4" s="85">
        <v>0</v>
      </c>
      <c r="N4" s="86"/>
      <c r="O4" s="80"/>
      <c r="P4" s="80"/>
      <c r="Q4" s="80"/>
      <c r="R4" s="80"/>
      <c r="S4" s="80"/>
      <c r="T4" s="80"/>
      <c r="U4" s="80"/>
      <c r="V4" s="80"/>
    </row>
    <row r="5" spans="1:22" ht="15.75" x14ac:dyDescent="0.25">
      <c r="A5" s="77"/>
      <c r="B5" s="82"/>
      <c r="C5" s="198" t="s">
        <v>213</v>
      </c>
      <c r="D5" s="82"/>
      <c r="E5" s="61" t="s">
        <v>205</v>
      </c>
      <c r="F5" s="224">
        <v>2000</v>
      </c>
      <c r="G5" s="59"/>
      <c r="H5" s="83"/>
      <c r="I5" s="87"/>
      <c r="J5" s="88">
        <f>Achat18[[#This Row],[Prix total
  HD (HT)]]+Achat18[[#This Row],[Douane]]</f>
        <v>0</v>
      </c>
      <c r="K5" s="84" t="str">
        <f>IF(Achat18[[#This Row],[Prix total
Inc-Douane (1)]]=0, "",Achat18[[#This Row],[ACHAT ]]/Achat18[[#This Row],[Prix total
Inc-Douane (1)]])</f>
        <v/>
      </c>
      <c r="L5" s="85">
        <f>SUM(Achat18[[#This Row],[1er Verst]:[10e Verst]])</f>
        <v>0</v>
      </c>
      <c r="N5" s="86"/>
      <c r="O5" s="80"/>
      <c r="P5" s="80"/>
      <c r="Q5" s="80"/>
      <c r="R5" s="80"/>
      <c r="S5" s="80"/>
      <c r="T5" s="80"/>
      <c r="U5" s="80"/>
      <c r="V5" s="80"/>
    </row>
    <row r="6" spans="1:22" ht="15.75" x14ac:dyDescent="0.25">
      <c r="A6" s="77"/>
      <c r="B6" s="82"/>
      <c r="C6" s="199" t="s">
        <v>214</v>
      </c>
      <c r="D6" s="82"/>
      <c r="E6" s="197" t="s">
        <v>203</v>
      </c>
      <c r="F6" s="225">
        <v>50</v>
      </c>
      <c r="G6" s="59"/>
      <c r="H6" s="83"/>
      <c r="I6" s="87"/>
      <c r="J6" s="88">
        <f>Achat18[[#This Row],[Prix total
  HD (HT)]]+Achat18[[#This Row],[Douane]]</f>
        <v>0</v>
      </c>
      <c r="K6" s="84"/>
      <c r="L6" s="85" t="e">
        <f>SUM(#REF!)</f>
        <v>#REF!</v>
      </c>
      <c r="N6" s="86"/>
      <c r="O6" s="80"/>
      <c r="P6" s="80"/>
      <c r="Q6" s="80"/>
      <c r="R6" s="80"/>
      <c r="S6" s="80"/>
      <c r="T6" s="80"/>
      <c r="U6" s="80"/>
      <c r="V6" s="80"/>
    </row>
    <row r="7" spans="1:22" ht="15.75" x14ac:dyDescent="0.25">
      <c r="A7" s="77"/>
      <c r="B7" s="82"/>
      <c r="C7" s="200" t="s">
        <v>215</v>
      </c>
      <c r="D7" s="82"/>
      <c r="E7" s="61" t="s">
        <v>205</v>
      </c>
      <c r="F7" s="224">
        <v>200</v>
      </c>
      <c r="G7" s="59"/>
      <c r="H7" s="83"/>
      <c r="I7" s="87"/>
      <c r="J7" s="88">
        <f>Achat18[[#This Row],[Prix total
  HD (HT)]]+Achat18[[#This Row],[Douane]]</f>
        <v>0</v>
      </c>
      <c r="K7" s="84"/>
      <c r="L7" s="85" t="e">
        <f>SUM(#REF!)</f>
        <v>#REF!</v>
      </c>
      <c r="N7" s="86"/>
      <c r="O7" s="80"/>
      <c r="P7" s="80"/>
      <c r="Q7" s="80"/>
      <c r="R7" s="80"/>
      <c r="S7" s="80"/>
      <c r="T7" s="80"/>
      <c r="U7" s="80"/>
      <c r="V7" s="80"/>
    </row>
    <row r="8" spans="1:22" ht="15.75" x14ac:dyDescent="0.25">
      <c r="A8" s="77"/>
      <c r="B8" s="82"/>
      <c r="C8" s="200" t="s">
        <v>216</v>
      </c>
      <c r="D8" s="82"/>
      <c r="E8" s="61" t="s">
        <v>203</v>
      </c>
      <c r="F8" s="224">
        <v>300</v>
      </c>
      <c r="G8" s="59"/>
      <c r="H8" s="83"/>
      <c r="I8" s="87"/>
      <c r="J8" s="88">
        <f>Achat18[[#This Row],[Prix total
  HD (HT)]]+Achat18[[#This Row],[Douane]]</f>
        <v>0</v>
      </c>
      <c r="K8" s="84"/>
      <c r="L8" s="85" t="e">
        <f>SUM(#REF!)</f>
        <v>#REF!</v>
      </c>
      <c r="N8" s="86"/>
      <c r="O8" s="80"/>
      <c r="P8" s="80"/>
      <c r="Q8" s="80"/>
      <c r="R8" s="80"/>
      <c r="S8" s="80"/>
      <c r="T8" s="80"/>
      <c r="U8" s="80"/>
      <c r="V8" s="80"/>
    </row>
    <row r="9" spans="1:22" ht="15.75" x14ac:dyDescent="0.25">
      <c r="A9" s="77"/>
      <c r="B9" s="82"/>
      <c r="C9" s="200" t="s">
        <v>217</v>
      </c>
      <c r="D9" s="82"/>
      <c r="E9" s="61" t="s">
        <v>203</v>
      </c>
      <c r="F9" s="224">
        <v>300</v>
      </c>
      <c r="G9" s="59"/>
      <c r="H9" s="83"/>
      <c r="I9" s="87"/>
      <c r="J9" s="88">
        <f>Achat18[[#This Row],[Prix total
  HD (HT)]]+Achat18[[#This Row],[Douane]]</f>
        <v>0</v>
      </c>
      <c r="K9" s="84"/>
      <c r="L9" s="85" t="e">
        <f>SUM(#REF!)</f>
        <v>#REF!</v>
      </c>
      <c r="N9" s="86"/>
      <c r="O9" s="80"/>
      <c r="P9" s="80"/>
      <c r="Q9" s="80"/>
      <c r="R9" s="80"/>
      <c r="S9" s="80"/>
      <c r="T9" s="80"/>
      <c r="U9" s="80"/>
      <c r="V9" s="80"/>
    </row>
    <row r="10" spans="1:22" ht="15.75" x14ac:dyDescent="0.25">
      <c r="A10" s="77"/>
      <c r="B10" s="82"/>
      <c r="C10" s="200" t="s">
        <v>218</v>
      </c>
      <c r="D10" s="82"/>
      <c r="E10" s="61" t="s">
        <v>205</v>
      </c>
      <c r="F10" s="224">
        <v>3600</v>
      </c>
      <c r="G10" s="59"/>
      <c r="H10" s="83"/>
      <c r="I10" s="87"/>
      <c r="J10" s="88">
        <f>Achat18[[#This Row],[Prix total
  HD (HT)]]+Achat18[[#This Row],[Douane]]</f>
        <v>0</v>
      </c>
      <c r="K10" s="84"/>
      <c r="L10" s="85" t="e">
        <f>SUM(#REF!)</f>
        <v>#REF!</v>
      </c>
      <c r="N10" s="86"/>
      <c r="O10" s="80"/>
      <c r="P10" s="80"/>
      <c r="Q10" s="80"/>
      <c r="R10" s="80"/>
      <c r="S10" s="80"/>
      <c r="T10" s="80"/>
      <c r="U10" s="80"/>
      <c r="V10" s="80"/>
    </row>
    <row r="11" spans="1:22" ht="15.75" x14ac:dyDescent="0.25">
      <c r="A11" s="77"/>
      <c r="B11" s="82"/>
      <c r="C11" s="200" t="s">
        <v>202</v>
      </c>
      <c r="D11" s="82"/>
      <c r="E11" s="61" t="s">
        <v>205</v>
      </c>
      <c r="F11" s="224">
        <v>300</v>
      </c>
      <c r="G11" s="59"/>
      <c r="H11" s="83"/>
      <c r="I11" s="87"/>
      <c r="J11" s="88">
        <f>Achat18[[#This Row],[Prix total
  HD (HT)]]+Achat18[[#This Row],[Douane]]</f>
        <v>0</v>
      </c>
      <c r="K11" s="84"/>
      <c r="L11" s="85" t="e">
        <f>SUM(#REF!)</f>
        <v>#REF!</v>
      </c>
      <c r="N11" s="86"/>
      <c r="O11" s="80"/>
      <c r="P11" s="80"/>
      <c r="Q11" s="80"/>
      <c r="R11" s="80"/>
      <c r="S11" s="80"/>
      <c r="T11" s="80"/>
      <c r="U11" s="80"/>
      <c r="V11" s="80"/>
    </row>
    <row r="12" spans="1:22" ht="15.75" x14ac:dyDescent="0.25">
      <c r="A12" s="77"/>
      <c r="B12" s="82"/>
      <c r="C12" s="200" t="s">
        <v>219</v>
      </c>
      <c r="D12" s="82"/>
      <c r="E12" s="61" t="s">
        <v>203</v>
      </c>
      <c r="F12" s="224">
        <v>50</v>
      </c>
      <c r="G12" s="59"/>
      <c r="H12" s="83"/>
      <c r="I12" s="87"/>
      <c r="J12" s="88">
        <f>Achat18[[#This Row],[Prix total
  HD (HT)]]+Achat18[[#This Row],[Douane]]</f>
        <v>0</v>
      </c>
      <c r="K12" s="84"/>
      <c r="L12" s="85" t="e">
        <f>SUM(#REF!)</f>
        <v>#REF!</v>
      </c>
      <c r="N12" s="86"/>
      <c r="O12" s="80"/>
      <c r="P12" s="80"/>
      <c r="Q12" s="80"/>
      <c r="R12" s="80"/>
      <c r="S12" s="80"/>
      <c r="T12" s="80"/>
      <c r="U12" s="80"/>
      <c r="V12" s="80"/>
    </row>
    <row r="13" spans="1:22" ht="15.75" x14ac:dyDescent="0.25">
      <c r="A13" s="77"/>
      <c r="B13" s="82"/>
      <c r="C13" s="200" t="s">
        <v>220</v>
      </c>
      <c r="D13" s="82"/>
      <c r="E13" s="61" t="s">
        <v>203</v>
      </c>
      <c r="F13" s="224">
        <v>50</v>
      </c>
      <c r="G13" s="59"/>
      <c r="H13" s="83"/>
      <c r="I13" s="87"/>
      <c r="J13" s="88">
        <f>Achat18[[#This Row],[Prix total
  HD (HT)]]+Achat18[[#This Row],[Douane]]</f>
        <v>0</v>
      </c>
      <c r="K13" s="84"/>
      <c r="L13" s="85" t="e">
        <f>SUM(#REF!)</f>
        <v>#REF!</v>
      </c>
      <c r="N13" s="86"/>
      <c r="O13" s="80"/>
      <c r="P13" s="80"/>
      <c r="Q13" s="80"/>
      <c r="R13" s="80"/>
      <c r="S13" s="80"/>
      <c r="T13" s="80"/>
      <c r="U13" s="80"/>
      <c r="V13" s="80"/>
    </row>
    <row r="14" spans="1:22" ht="15.75" x14ac:dyDescent="0.25">
      <c r="A14" s="77"/>
      <c r="B14" s="82"/>
      <c r="C14" s="200" t="s">
        <v>221</v>
      </c>
      <c r="D14" s="82"/>
      <c r="E14" s="61" t="s">
        <v>203</v>
      </c>
      <c r="F14" s="226">
        <v>50</v>
      </c>
      <c r="G14" s="59"/>
      <c r="H14" s="83"/>
      <c r="I14" s="87"/>
      <c r="J14" s="88">
        <f>Achat18[[#This Row],[Prix total
  HD (HT)]]+Achat18[[#This Row],[Douane]]</f>
        <v>0</v>
      </c>
      <c r="K14" s="84"/>
      <c r="L14" s="85" t="e">
        <f>SUM(#REF!)</f>
        <v>#REF!</v>
      </c>
      <c r="N14" s="86"/>
      <c r="O14" s="80"/>
      <c r="P14" s="80"/>
      <c r="Q14" s="80"/>
      <c r="R14" s="80"/>
      <c r="S14" s="80"/>
      <c r="T14" s="80"/>
      <c r="U14" s="80"/>
      <c r="V14" s="80"/>
    </row>
    <row r="15" spans="1:22" ht="15.75" x14ac:dyDescent="0.25">
      <c r="A15" s="77"/>
      <c r="B15" s="82"/>
      <c r="C15" s="200" t="s">
        <v>222</v>
      </c>
      <c r="D15" s="82"/>
      <c r="E15" s="61" t="s">
        <v>205</v>
      </c>
      <c r="F15" s="226">
        <v>1800</v>
      </c>
      <c r="G15" s="59"/>
      <c r="H15" s="83"/>
      <c r="I15" s="87"/>
      <c r="J15" s="88">
        <f>Achat18[[#This Row],[Prix total
  HD (HT)]]+Achat18[[#This Row],[Douane]]</f>
        <v>0</v>
      </c>
      <c r="K15" s="84"/>
      <c r="L15" s="85" t="e">
        <f>SUM(#REF!)</f>
        <v>#REF!</v>
      </c>
      <c r="N15" s="86"/>
      <c r="O15" s="80"/>
      <c r="P15" s="80"/>
      <c r="Q15" s="80"/>
      <c r="R15" s="80"/>
      <c r="S15" s="80"/>
      <c r="T15" s="80"/>
      <c r="U15" s="80"/>
      <c r="V15" s="80"/>
    </row>
    <row r="16" spans="1:22" ht="15.75" x14ac:dyDescent="0.25">
      <c r="A16" s="77"/>
      <c r="B16" s="82"/>
      <c r="C16" s="200" t="s">
        <v>223</v>
      </c>
      <c r="D16" s="82"/>
      <c r="E16" s="61" t="s">
        <v>205</v>
      </c>
      <c r="F16" s="226">
        <v>300</v>
      </c>
      <c r="G16" s="59"/>
      <c r="H16" s="83"/>
      <c r="I16" s="87"/>
      <c r="J16" s="88">
        <f>Achat18[[#This Row],[Prix total
  HD (HT)]]+Achat18[[#This Row],[Douane]]</f>
        <v>0</v>
      </c>
      <c r="K16" s="84"/>
      <c r="L16" s="85" t="e">
        <f>SUM(#REF!)</f>
        <v>#REF!</v>
      </c>
      <c r="N16" s="86"/>
      <c r="O16" s="80"/>
      <c r="P16" s="80"/>
      <c r="Q16" s="80"/>
      <c r="R16" s="80"/>
      <c r="S16" s="80"/>
      <c r="T16" s="80"/>
      <c r="U16" s="80"/>
      <c r="V16" s="80"/>
    </row>
    <row r="17" spans="1:22" ht="15.75" x14ac:dyDescent="0.25">
      <c r="A17" s="77"/>
      <c r="B17" s="82"/>
      <c r="C17" s="200" t="s">
        <v>224</v>
      </c>
      <c r="D17" s="82"/>
      <c r="E17" s="61" t="s">
        <v>203</v>
      </c>
      <c r="F17" s="226">
        <v>50</v>
      </c>
      <c r="G17" s="59"/>
      <c r="H17" s="83"/>
      <c r="I17" s="87"/>
      <c r="J17" s="88">
        <f>Achat18[[#This Row],[Prix total
  HD (HT)]]+Achat18[[#This Row],[Douane]]</f>
        <v>0</v>
      </c>
      <c r="K17" s="84"/>
      <c r="L17" s="85" t="e">
        <f>SUM(#REF!)</f>
        <v>#REF!</v>
      </c>
      <c r="N17" s="86"/>
      <c r="O17" s="80"/>
      <c r="P17" s="80"/>
      <c r="Q17" s="80"/>
      <c r="R17" s="80"/>
      <c r="S17" s="80"/>
      <c r="T17" s="80"/>
      <c r="U17" s="80"/>
      <c r="V17" s="80"/>
    </row>
    <row r="18" spans="1:22" ht="15.75" x14ac:dyDescent="0.25">
      <c r="A18" s="77"/>
      <c r="B18" s="82"/>
      <c r="C18" s="201" t="s">
        <v>226</v>
      </c>
      <c r="D18" s="202"/>
      <c r="E18" s="203"/>
      <c r="F18" s="224"/>
      <c r="G18" s="59"/>
      <c r="H18" s="83"/>
      <c r="I18" s="87"/>
      <c r="J18" s="88">
        <f>Achat18[[#This Row],[Prix total
  HD (HT)]]+Achat18[[#This Row],[Douane]]</f>
        <v>0</v>
      </c>
      <c r="K18" s="84"/>
      <c r="L18" s="85" t="e">
        <f>SUM(#REF!)</f>
        <v>#REF!</v>
      </c>
      <c r="N18" s="86"/>
      <c r="O18" s="80"/>
      <c r="P18" s="80"/>
      <c r="Q18" s="80"/>
      <c r="R18" s="80"/>
      <c r="S18" s="80"/>
      <c r="T18" s="80"/>
      <c r="U18" s="80"/>
      <c r="V18" s="80"/>
    </row>
    <row r="19" spans="1:22" ht="15.75" x14ac:dyDescent="0.25">
      <c r="A19" s="77"/>
      <c r="B19" s="82"/>
      <c r="C19" s="198" t="s">
        <v>213</v>
      </c>
      <c r="D19" s="82"/>
      <c r="E19" s="61" t="s">
        <v>205</v>
      </c>
      <c r="F19" s="224">
        <v>1800</v>
      </c>
      <c r="G19" s="59"/>
      <c r="H19" s="83"/>
      <c r="I19" s="87"/>
      <c r="J19" s="88">
        <f>Achat18[[#This Row],[Prix total
  HD (HT)]]+Achat18[[#This Row],[Douane]]</f>
        <v>0</v>
      </c>
      <c r="K19" s="84"/>
      <c r="L19" s="85" t="e">
        <f>SUM(#REF!)</f>
        <v>#REF!</v>
      </c>
      <c r="N19" s="86"/>
      <c r="O19" s="80"/>
      <c r="P19" s="80"/>
      <c r="Q19" s="80"/>
      <c r="R19" s="80"/>
      <c r="S19" s="80"/>
      <c r="T19" s="80"/>
      <c r="U19" s="80"/>
      <c r="V19" s="80"/>
    </row>
    <row r="20" spans="1:22" ht="15.75" x14ac:dyDescent="0.25">
      <c r="A20" s="77"/>
      <c r="B20" s="82"/>
      <c r="C20" s="199" t="s">
        <v>214</v>
      </c>
      <c r="D20" s="82"/>
      <c r="E20" s="197" t="s">
        <v>203</v>
      </c>
      <c r="F20" s="225">
        <v>41</v>
      </c>
      <c r="G20" s="59"/>
      <c r="H20" s="83"/>
      <c r="I20" s="87"/>
      <c r="J20" s="88">
        <f>Achat18[[#This Row],[Prix total
  HD (HT)]]+Achat18[[#This Row],[Douane]]</f>
        <v>0</v>
      </c>
      <c r="K20" s="84"/>
      <c r="L20" s="85" t="e">
        <f>SUM(#REF!)</f>
        <v>#REF!</v>
      </c>
      <c r="N20" s="86"/>
      <c r="O20" s="80"/>
      <c r="P20" s="80"/>
      <c r="Q20" s="80"/>
      <c r="R20" s="80"/>
      <c r="S20" s="80"/>
      <c r="T20" s="80"/>
      <c r="U20" s="80"/>
      <c r="V20" s="80"/>
    </row>
    <row r="21" spans="1:22" ht="15.75" x14ac:dyDescent="0.25">
      <c r="A21" s="77"/>
      <c r="B21" s="82"/>
      <c r="C21" s="200" t="s">
        <v>215</v>
      </c>
      <c r="D21" s="82"/>
      <c r="E21" s="61" t="s">
        <v>205</v>
      </c>
      <c r="F21" s="224">
        <v>150</v>
      </c>
      <c r="G21" s="59"/>
      <c r="H21" s="83"/>
      <c r="I21" s="87"/>
      <c r="J21" s="88">
        <f>Achat18[[#This Row],[Prix total
  HD (HT)]]+Achat18[[#This Row],[Douane]]</f>
        <v>0</v>
      </c>
      <c r="K21" s="84"/>
      <c r="L21" s="85" t="e">
        <f>SUM(#REF!)</f>
        <v>#REF!</v>
      </c>
      <c r="N21" s="86"/>
      <c r="O21" s="80"/>
      <c r="P21" s="80"/>
      <c r="Q21" s="80"/>
      <c r="R21" s="80"/>
      <c r="S21" s="80"/>
      <c r="T21" s="80"/>
      <c r="U21" s="80"/>
      <c r="V21" s="80"/>
    </row>
    <row r="22" spans="1:22" ht="15.75" x14ac:dyDescent="0.25">
      <c r="A22" s="77"/>
      <c r="B22" s="82"/>
      <c r="C22" s="200" t="s">
        <v>216</v>
      </c>
      <c r="D22" s="82"/>
      <c r="E22" s="61" t="s">
        <v>203</v>
      </c>
      <c r="F22" s="224">
        <v>210</v>
      </c>
      <c r="G22" s="59"/>
      <c r="H22" s="83"/>
      <c r="I22" s="87"/>
      <c r="J22" s="88">
        <f>Achat18[[#This Row],[Prix total
  HD (HT)]]+Achat18[[#This Row],[Douane]]</f>
        <v>0</v>
      </c>
      <c r="K22" s="84"/>
      <c r="L22" s="85" t="e">
        <f>SUM(#REF!)</f>
        <v>#REF!</v>
      </c>
      <c r="N22" s="86"/>
      <c r="O22" s="80"/>
      <c r="P22" s="80"/>
      <c r="Q22" s="80"/>
      <c r="R22" s="80"/>
      <c r="S22" s="80"/>
      <c r="T22" s="80"/>
      <c r="U22" s="80"/>
      <c r="V22" s="80"/>
    </row>
    <row r="23" spans="1:22" ht="15.75" x14ac:dyDescent="0.25">
      <c r="A23" s="77"/>
      <c r="B23" s="82"/>
      <c r="C23" s="200" t="s">
        <v>217</v>
      </c>
      <c r="D23" s="82"/>
      <c r="E23" s="61" t="s">
        <v>203</v>
      </c>
      <c r="F23" s="224">
        <v>210</v>
      </c>
      <c r="G23" s="59"/>
      <c r="H23" s="83"/>
      <c r="I23" s="87"/>
      <c r="J23" s="88">
        <f>Achat18[[#This Row],[Prix total
  HD (HT)]]+Achat18[[#This Row],[Douane]]</f>
        <v>0</v>
      </c>
      <c r="K23" s="84"/>
      <c r="L23" s="85" t="e">
        <f>SUM(#REF!)</f>
        <v>#REF!</v>
      </c>
      <c r="N23" s="86"/>
      <c r="O23" s="80"/>
      <c r="P23" s="80"/>
      <c r="Q23" s="80"/>
      <c r="R23" s="80"/>
      <c r="S23" s="80"/>
      <c r="T23" s="80"/>
      <c r="U23" s="80"/>
      <c r="V23" s="80"/>
    </row>
    <row r="24" spans="1:22" ht="15.75" x14ac:dyDescent="0.25">
      <c r="A24" s="77"/>
      <c r="B24" s="82"/>
      <c r="C24" s="200" t="s">
        <v>218</v>
      </c>
      <c r="D24" s="82"/>
      <c r="E24" s="61" t="s">
        <v>205</v>
      </c>
      <c r="F24" s="224">
        <v>3150</v>
      </c>
      <c r="G24" s="59"/>
      <c r="H24" s="83"/>
      <c r="I24" s="87"/>
      <c r="J24" s="88">
        <f>Achat18[[#This Row],[Prix total
  HD (HT)]]+Achat18[[#This Row],[Douane]]</f>
        <v>0</v>
      </c>
      <c r="K24" s="84"/>
      <c r="L24" s="85" t="e">
        <f>SUM(#REF!)</f>
        <v>#REF!</v>
      </c>
      <c r="N24" s="86"/>
      <c r="O24" s="80"/>
      <c r="P24" s="80"/>
      <c r="Q24" s="80"/>
      <c r="R24" s="80"/>
      <c r="S24" s="80"/>
      <c r="T24" s="80"/>
      <c r="U24" s="80"/>
      <c r="V24" s="80"/>
    </row>
    <row r="25" spans="1:22" ht="15.75" x14ac:dyDescent="0.25">
      <c r="A25" s="77"/>
      <c r="B25" s="82"/>
      <c r="C25" s="200" t="s">
        <v>202</v>
      </c>
      <c r="D25" s="82"/>
      <c r="E25" s="61" t="s">
        <v>205</v>
      </c>
      <c r="F25" s="224">
        <v>250</v>
      </c>
      <c r="G25" s="59"/>
      <c r="H25" s="83"/>
      <c r="I25" s="87"/>
      <c r="J25" s="88">
        <f>Achat18[[#This Row],[Prix total
  HD (HT)]]+Achat18[[#This Row],[Douane]]</f>
        <v>0</v>
      </c>
      <c r="K25" s="84"/>
      <c r="L25" s="85" t="e">
        <f>SUM(#REF!)</f>
        <v>#REF!</v>
      </c>
      <c r="N25" s="86"/>
      <c r="O25" s="80"/>
      <c r="P25" s="80"/>
      <c r="Q25" s="80"/>
      <c r="R25" s="80"/>
      <c r="S25" s="80"/>
      <c r="T25" s="80"/>
      <c r="U25" s="80"/>
      <c r="V25" s="80"/>
    </row>
    <row r="26" spans="1:22" ht="15.75" x14ac:dyDescent="0.25">
      <c r="A26" s="77"/>
      <c r="B26" s="82"/>
      <c r="C26" s="200" t="s">
        <v>219</v>
      </c>
      <c r="D26" s="82"/>
      <c r="E26" s="61" t="s">
        <v>203</v>
      </c>
      <c r="F26" s="224">
        <v>41</v>
      </c>
      <c r="G26" s="59"/>
      <c r="H26" s="83"/>
      <c r="I26" s="87"/>
      <c r="J26" s="88">
        <f>Achat18[[#This Row],[Prix total
  HD (HT)]]+Achat18[[#This Row],[Douane]]</f>
        <v>0</v>
      </c>
      <c r="K26" s="84"/>
      <c r="L26" s="85" t="e">
        <f>SUM(#REF!)</f>
        <v>#REF!</v>
      </c>
      <c r="N26" s="86"/>
      <c r="O26" s="80"/>
      <c r="P26" s="80"/>
      <c r="Q26" s="80"/>
      <c r="R26" s="80"/>
      <c r="S26" s="80"/>
      <c r="T26" s="80"/>
      <c r="U26" s="80"/>
      <c r="V26" s="80"/>
    </row>
    <row r="27" spans="1:22" ht="15.75" x14ac:dyDescent="0.25">
      <c r="A27" s="77"/>
      <c r="B27" s="82"/>
      <c r="C27" s="200" t="s">
        <v>220</v>
      </c>
      <c r="D27" s="82"/>
      <c r="E27" s="61" t="s">
        <v>203</v>
      </c>
      <c r="F27" s="224">
        <v>41</v>
      </c>
      <c r="G27" s="59"/>
      <c r="H27" s="83"/>
      <c r="I27" s="87"/>
      <c r="J27" s="88">
        <f>Achat18[[#This Row],[Prix total
  HD (HT)]]+Achat18[[#This Row],[Douane]]</f>
        <v>0</v>
      </c>
      <c r="K27" s="84"/>
      <c r="L27" s="85" t="e">
        <f>SUM(#REF!)</f>
        <v>#REF!</v>
      </c>
      <c r="N27" s="86"/>
      <c r="O27" s="80"/>
      <c r="P27" s="80"/>
      <c r="Q27" s="80"/>
      <c r="R27" s="80"/>
      <c r="S27" s="80"/>
      <c r="T27" s="80"/>
      <c r="U27" s="80"/>
      <c r="V27" s="80"/>
    </row>
    <row r="28" spans="1:22" ht="15.75" x14ac:dyDescent="0.25">
      <c r="A28" s="77"/>
      <c r="B28" s="82"/>
      <c r="C28" s="200" t="s">
        <v>221</v>
      </c>
      <c r="D28" s="82"/>
      <c r="E28" s="61" t="s">
        <v>203</v>
      </c>
      <c r="F28" s="226">
        <v>41</v>
      </c>
      <c r="G28" s="59"/>
      <c r="H28" s="83"/>
      <c r="I28" s="87"/>
      <c r="J28" s="88">
        <f>Achat18[[#This Row],[Prix total
  HD (HT)]]+Achat18[[#This Row],[Douane]]</f>
        <v>0</v>
      </c>
      <c r="K28" s="84"/>
      <c r="L28" s="85" t="e">
        <f>SUM(#REF!)</f>
        <v>#REF!</v>
      </c>
      <c r="N28" s="86"/>
      <c r="O28" s="80"/>
      <c r="P28" s="80"/>
      <c r="Q28" s="80"/>
      <c r="R28" s="80"/>
      <c r="S28" s="80"/>
      <c r="T28" s="80"/>
      <c r="U28" s="80"/>
      <c r="V28" s="80"/>
    </row>
    <row r="29" spans="1:22" ht="15.75" x14ac:dyDescent="0.25">
      <c r="A29" s="77"/>
      <c r="B29" s="82"/>
      <c r="C29" s="200" t="s">
        <v>222</v>
      </c>
      <c r="D29" s="82"/>
      <c r="E29" s="61" t="s">
        <v>205</v>
      </c>
      <c r="F29" s="226">
        <v>1575</v>
      </c>
      <c r="G29" s="59"/>
      <c r="H29" s="83"/>
      <c r="I29" s="87"/>
      <c r="J29" s="88">
        <f>Achat18[[#This Row],[Prix total
  HD (HT)]]+Achat18[[#This Row],[Douane]]</f>
        <v>0</v>
      </c>
      <c r="K29" s="84"/>
      <c r="L29" s="85" t="e">
        <f>SUM(#REF!)</f>
        <v>#REF!</v>
      </c>
      <c r="N29" s="86"/>
      <c r="O29" s="80"/>
      <c r="P29" s="80"/>
      <c r="Q29" s="80"/>
      <c r="R29" s="80"/>
      <c r="S29" s="80"/>
      <c r="T29" s="80"/>
      <c r="U29" s="80"/>
      <c r="V29" s="80"/>
    </row>
    <row r="30" spans="1:22" ht="15.75" x14ac:dyDescent="0.25">
      <c r="A30" s="77"/>
      <c r="B30" s="82"/>
      <c r="C30" s="200" t="s">
        <v>224</v>
      </c>
      <c r="D30" s="82"/>
      <c r="E30" s="61" t="s">
        <v>203</v>
      </c>
      <c r="F30" s="226">
        <v>41</v>
      </c>
      <c r="G30" s="59"/>
      <c r="H30" s="83"/>
      <c r="I30" s="87"/>
      <c r="J30" s="88">
        <f>Achat18[[#This Row],[Prix total
  HD (HT)]]+Achat18[[#This Row],[Douane]]</f>
        <v>0</v>
      </c>
      <c r="K30" s="84"/>
      <c r="L30" s="85" t="e">
        <f>SUM(#REF!)</f>
        <v>#REF!</v>
      </c>
      <c r="N30" s="86"/>
      <c r="O30" s="80"/>
      <c r="P30" s="80"/>
      <c r="Q30" s="80"/>
      <c r="R30" s="80"/>
      <c r="S30" s="80"/>
      <c r="T30" s="80"/>
      <c r="U30" s="80"/>
      <c r="V30" s="80"/>
    </row>
    <row r="31" spans="1:22" ht="15.75" x14ac:dyDescent="0.25">
      <c r="A31" s="77"/>
      <c r="B31" s="82"/>
      <c r="C31" s="200" t="s">
        <v>223</v>
      </c>
      <c r="D31" s="82"/>
      <c r="E31" s="61" t="s">
        <v>205</v>
      </c>
      <c r="F31" s="226">
        <v>250</v>
      </c>
      <c r="G31" s="59"/>
      <c r="H31" s="83"/>
      <c r="I31" s="87"/>
      <c r="J31" s="88">
        <f>Achat18[[#This Row],[Prix total
  HD (HT)]]+Achat18[[#This Row],[Douane]]</f>
        <v>0</v>
      </c>
      <c r="K31" s="84"/>
      <c r="L31" s="85" t="e">
        <f>SUM(#REF!)</f>
        <v>#REF!</v>
      </c>
      <c r="N31" s="86"/>
      <c r="O31" s="80"/>
      <c r="P31" s="80"/>
      <c r="Q31" s="80"/>
      <c r="R31" s="80"/>
      <c r="S31" s="80"/>
      <c r="T31" s="80"/>
      <c r="U31" s="80"/>
      <c r="V31" s="80"/>
    </row>
    <row r="32" spans="1:22" ht="15.75" x14ac:dyDescent="0.25">
      <c r="A32" s="77"/>
      <c r="B32" s="82"/>
      <c r="C32" s="201" t="s">
        <v>227</v>
      </c>
      <c r="D32" s="202"/>
      <c r="E32" s="203"/>
      <c r="F32" s="224"/>
      <c r="G32" s="59"/>
      <c r="H32" s="83"/>
      <c r="I32" s="87"/>
      <c r="J32" s="88">
        <f>Achat18[[#This Row],[Prix total
  HD (HT)]]+Achat18[[#This Row],[Douane]]</f>
        <v>0</v>
      </c>
      <c r="K32" s="84"/>
      <c r="L32" s="85" t="e">
        <f>SUM(#REF!)</f>
        <v>#REF!</v>
      </c>
      <c r="N32" s="86"/>
      <c r="O32" s="80"/>
      <c r="P32" s="80"/>
      <c r="Q32" s="80"/>
      <c r="R32" s="80"/>
      <c r="S32" s="80"/>
      <c r="T32" s="80"/>
      <c r="U32" s="80"/>
      <c r="V32" s="80"/>
    </row>
    <row r="33" spans="1:22" ht="15.75" x14ac:dyDescent="0.25">
      <c r="A33" s="77"/>
      <c r="B33" s="82"/>
      <c r="C33" s="198" t="s">
        <v>213</v>
      </c>
      <c r="D33" s="82"/>
      <c r="E33" s="61" t="s">
        <v>205</v>
      </c>
      <c r="F33" s="224">
        <v>1000</v>
      </c>
      <c r="G33" s="59"/>
      <c r="H33" s="83"/>
      <c r="I33" s="87"/>
      <c r="J33" s="88">
        <f>Achat18[[#This Row],[Prix total
  HD (HT)]]+Achat18[[#This Row],[Douane]]</f>
        <v>0</v>
      </c>
      <c r="K33" s="84"/>
      <c r="L33" s="85" t="e">
        <f>SUM(#REF!)</f>
        <v>#REF!</v>
      </c>
      <c r="N33" s="86"/>
      <c r="O33" s="80"/>
      <c r="P33" s="80"/>
      <c r="Q33" s="80"/>
      <c r="R33" s="80"/>
      <c r="S33" s="80"/>
      <c r="T33" s="80"/>
      <c r="U33" s="80"/>
      <c r="V33" s="80"/>
    </row>
    <row r="34" spans="1:22" ht="15.75" x14ac:dyDescent="0.25">
      <c r="A34" s="77"/>
      <c r="B34" s="82"/>
      <c r="C34" s="199" t="s">
        <v>214</v>
      </c>
      <c r="D34" s="82"/>
      <c r="E34" s="197" t="s">
        <v>203</v>
      </c>
      <c r="F34" s="225">
        <v>16</v>
      </c>
      <c r="G34" s="59"/>
      <c r="H34" s="83"/>
      <c r="I34" s="87"/>
      <c r="J34" s="88">
        <f>Achat18[[#This Row],[Prix total
  HD (HT)]]+Achat18[[#This Row],[Douane]]</f>
        <v>0</v>
      </c>
      <c r="K34" s="84"/>
      <c r="L34" s="85" t="e">
        <f>SUM(#REF!)</f>
        <v>#REF!</v>
      </c>
      <c r="N34" s="86"/>
      <c r="O34" s="80"/>
      <c r="P34" s="80"/>
      <c r="Q34" s="80"/>
      <c r="R34" s="80"/>
      <c r="S34" s="80"/>
      <c r="T34" s="80"/>
      <c r="U34" s="80"/>
      <c r="V34" s="80"/>
    </row>
    <row r="35" spans="1:22" ht="15.75" x14ac:dyDescent="0.25">
      <c r="A35" s="77"/>
      <c r="B35" s="82"/>
      <c r="C35" s="200" t="s">
        <v>215</v>
      </c>
      <c r="D35" s="82"/>
      <c r="E35" s="61" t="s">
        <v>205</v>
      </c>
      <c r="F35" s="224">
        <v>150</v>
      </c>
      <c r="G35" s="59"/>
      <c r="H35" s="83"/>
      <c r="I35" s="87"/>
      <c r="J35" s="88">
        <f>Achat18[[#This Row],[Prix total
  HD (HT)]]+Achat18[[#This Row],[Douane]]</f>
        <v>0</v>
      </c>
      <c r="K35" s="84"/>
      <c r="L35" s="85" t="e">
        <f>SUM(#REF!)</f>
        <v>#REF!</v>
      </c>
      <c r="N35" s="86"/>
      <c r="O35" s="80"/>
      <c r="P35" s="80"/>
      <c r="Q35" s="80"/>
      <c r="R35" s="80"/>
      <c r="S35" s="80"/>
      <c r="T35" s="80"/>
      <c r="U35" s="80"/>
      <c r="V35" s="80"/>
    </row>
    <row r="36" spans="1:22" ht="15.75" x14ac:dyDescent="0.25">
      <c r="A36" s="77"/>
      <c r="B36" s="82"/>
      <c r="C36" s="200" t="s">
        <v>216</v>
      </c>
      <c r="D36" s="82"/>
      <c r="E36" s="61" t="s">
        <v>203</v>
      </c>
      <c r="F36" s="224">
        <v>210</v>
      </c>
      <c r="G36" s="59"/>
      <c r="H36" s="83"/>
      <c r="I36" s="87"/>
      <c r="J36" s="88">
        <f>Achat18[[#This Row],[Prix total
  HD (HT)]]+Achat18[[#This Row],[Douane]]</f>
        <v>0</v>
      </c>
      <c r="K36" s="84"/>
      <c r="L36" s="85" t="e">
        <f>SUM(#REF!)</f>
        <v>#REF!</v>
      </c>
      <c r="N36" s="86"/>
      <c r="O36" s="80"/>
      <c r="P36" s="80"/>
      <c r="Q36" s="80"/>
      <c r="R36" s="80"/>
      <c r="S36" s="80"/>
      <c r="T36" s="80"/>
      <c r="U36" s="80"/>
      <c r="V36" s="80"/>
    </row>
    <row r="37" spans="1:22" ht="15.75" x14ac:dyDescent="0.25">
      <c r="A37" s="77"/>
      <c r="B37" s="82"/>
      <c r="C37" s="200" t="s">
        <v>217</v>
      </c>
      <c r="D37" s="82"/>
      <c r="E37" s="61" t="s">
        <v>203</v>
      </c>
      <c r="F37" s="224">
        <v>210</v>
      </c>
      <c r="G37" s="59"/>
      <c r="H37" s="83"/>
      <c r="I37" s="87"/>
      <c r="J37" s="88">
        <f>Achat18[[#This Row],[Prix total
  HD (HT)]]+Achat18[[#This Row],[Douane]]</f>
        <v>0</v>
      </c>
      <c r="K37" s="84"/>
      <c r="L37" s="85" t="e">
        <f>SUM(#REF!)</f>
        <v>#REF!</v>
      </c>
      <c r="N37" s="86"/>
      <c r="O37" s="80"/>
      <c r="P37" s="80"/>
      <c r="Q37" s="80"/>
      <c r="R37" s="80"/>
      <c r="S37" s="80"/>
      <c r="T37" s="80"/>
      <c r="U37" s="80"/>
      <c r="V37" s="80"/>
    </row>
    <row r="38" spans="1:22" ht="15.75" x14ac:dyDescent="0.25">
      <c r="A38" s="77"/>
      <c r="B38" s="82"/>
      <c r="C38" s="200" t="s">
        <v>218</v>
      </c>
      <c r="D38" s="82"/>
      <c r="E38" s="61" t="s">
        <v>205</v>
      </c>
      <c r="F38" s="224">
        <v>3150</v>
      </c>
      <c r="G38" s="59"/>
      <c r="H38" s="83"/>
      <c r="I38" s="87"/>
      <c r="J38" s="88">
        <f>Achat18[[#This Row],[Prix total
  HD (HT)]]+Achat18[[#This Row],[Douane]]</f>
        <v>0</v>
      </c>
      <c r="K38" s="84"/>
      <c r="L38" s="85" t="e">
        <f>SUM(#REF!)</f>
        <v>#REF!</v>
      </c>
      <c r="N38" s="86"/>
      <c r="O38" s="80"/>
      <c r="P38" s="80"/>
      <c r="Q38" s="80"/>
      <c r="R38" s="80"/>
      <c r="S38" s="80"/>
      <c r="T38" s="80"/>
      <c r="U38" s="80"/>
      <c r="V38" s="80"/>
    </row>
    <row r="39" spans="1:22" ht="15.75" x14ac:dyDescent="0.25">
      <c r="A39" s="77"/>
      <c r="B39" s="82"/>
      <c r="C39" s="200" t="s">
        <v>202</v>
      </c>
      <c r="D39" s="82"/>
      <c r="E39" s="61" t="s">
        <v>205</v>
      </c>
      <c r="F39" s="224">
        <v>250</v>
      </c>
      <c r="G39" s="59"/>
      <c r="H39" s="83"/>
      <c r="I39" s="87"/>
      <c r="J39" s="88">
        <f>Achat18[[#This Row],[Prix total
  HD (HT)]]+Achat18[[#This Row],[Douane]]</f>
        <v>0</v>
      </c>
      <c r="K39" s="84"/>
      <c r="L39" s="85" t="e">
        <f>SUM(#REF!)</f>
        <v>#REF!</v>
      </c>
      <c r="N39" s="86"/>
      <c r="O39" s="80"/>
      <c r="P39" s="80"/>
      <c r="Q39" s="80"/>
      <c r="R39" s="80"/>
      <c r="S39" s="80"/>
      <c r="T39" s="80"/>
      <c r="U39" s="80"/>
      <c r="V39" s="80"/>
    </row>
    <row r="40" spans="1:22" ht="15.75" x14ac:dyDescent="0.25">
      <c r="A40" s="77"/>
      <c r="B40" s="82"/>
      <c r="C40" s="200" t="s">
        <v>219</v>
      </c>
      <c r="D40" s="82"/>
      <c r="E40" s="61" t="s">
        <v>203</v>
      </c>
      <c r="F40" s="224">
        <v>16</v>
      </c>
      <c r="G40" s="59"/>
      <c r="H40" s="83"/>
      <c r="I40" s="87"/>
      <c r="J40" s="88">
        <f>Achat18[[#This Row],[Prix total
  HD (HT)]]+Achat18[[#This Row],[Douane]]</f>
        <v>0</v>
      </c>
      <c r="K40" s="84"/>
      <c r="L40" s="85" t="e">
        <f>SUM(#REF!)</f>
        <v>#REF!</v>
      </c>
      <c r="N40" s="86"/>
      <c r="O40" s="80"/>
      <c r="P40" s="80"/>
      <c r="Q40" s="80"/>
      <c r="R40" s="80"/>
      <c r="S40" s="80"/>
      <c r="T40" s="80"/>
      <c r="U40" s="80"/>
      <c r="V40" s="80"/>
    </row>
    <row r="41" spans="1:22" ht="15.75" x14ac:dyDescent="0.25">
      <c r="A41" s="77"/>
      <c r="B41" s="82"/>
      <c r="C41" s="200" t="s">
        <v>220</v>
      </c>
      <c r="D41" s="82"/>
      <c r="E41" s="61" t="s">
        <v>203</v>
      </c>
      <c r="F41" s="224">
        <v>16</v>
      </c>
      <c r="G41" s="59"/>
      <c r="H41" s="83"/>
      <c r="I41" s="87"/>
      <c r="J41" s="88">
        <f>Achat18[[#This Row],[Prix total
  HD (HT)]]+Achat18[[#This Row],[Douane]]</f>
        <v>0</v>
      </c>
      <c r="K41" s="84"/>
      <c r="L41" s="85" t="e">
        <f>SUM(#REF!)</f>
        <v>#REF!</v>
      </c>
      <c r="N41" s="86"/>
      <c r="O41" s="80"/>
      <c r="P41" s="80"/>
      <c r="Q41" s="80"/>
      <c r="R41" s="80"/>
      <c r="S41" s="80"/>
      <c r="T41" s="80"/>
      <c r="U41" s="80"/>
      <c r="V41" s="80"/>
    </row>
    <row r="42" spans="1:22" ht="15.75" x14ac:dyDescent="0.25">
      <c r="A42" s="77"/>
      <c r="B42" s="82"/>
      <c r="C42" s="200" t="s">
        <v>221</v>
      </c>
      <c r="D42" s="82"/>
      <c r="E42" s="61" t="s">
        <v>203</v>
      </c>
      <c r="F42" s="226">
        <v>16</v>
      </c>
      <c r="G42" s="59"/>
      <c r="H42" s="83"/>
      <c r="I42" s="87"/>
      <c r="J42" s="88">
        <f>Achat18[[#This Row],[Prix total
  HD (HT)]]+Achat18[[#This Row],[Douane]]</f>
        <v>0</v>
      </c>
      <c r="K42" s="84"/>
      <c r="L42" s="85" t="e">
        <f>SUM(#REF!)</f>
        <v>#REF!</v>
      </c>
      <c r="N42" s="86"/>
      <c r="O42" s="80"/>
      <c r="P42" s="80"/>
      <c r="Q42" s="80"/>
      <c r="R42" s="80"/>
      <c r="S42" s="80"/>
      <c r="T42" s="80"/>
      <c r="U42" s="80"/>
      <c r="V42" s="80"/>
    </row>
    <row r="43" spans="1:22" ht="15.75" x14ac:dyDescent="0.25">
      <c r="A43" s="77"/>
      <c r="B43" s="82"/>
      <c r="C43" s="200" t="s">
        <v>222</v>
      </c>
      <c r="D43" s="82"/>
      <c r="E43" s="61" t="s">
        <v>205</v>
      </c>
      <c r="F43" s="226">
        <v>700</v>
      </c>
      <c r="G43" s="59"/>
      <c r="H43" s="83"/>
      <c r="I43" s="87"/>
      <c r="J43" s="88">
        <f>Achat18[[#This Row],[Prix total
  HD (HT)]]+Achat18[[#This Row],[Douane]]</f>
        <v>0</v>
      </c>
      <c r="K43" s="84"/>
      <c r="L43" s="85" t="e">
        <f>SUM(#REF!)</f>
        <v>#REF!</v>
      </c>
      <c r="N43" s="86"/>
      <c r="O43" s="80"/>
      <c r="P43" s="80"/>
      <c r="Q43" s="80"/>
      <c r="R43" s="80"/>
      <c r="S43" s="80"/>
      <c r="T43" s="80"/>
      <c r="U43" s="80"/>
      <c r="V43" s="80"/>
    </row>
    <row r="44" spans="1:22" ht="15.75" x14ac:dyDescent="0.25">
      <c r="A44" s="77"/>
      <c r="B44" s="82"/>
      <c r="C44" s="200" t="s">
        <v>223</v>
      </c>
      <c r="D44" s="82"/>
      <c r="E44" s="61" t="s">
        <v>205</v>
      </c>
      <c r="F44" s="226">
        <v>500</v>
      </c>
      <c r="G44" s="59"/>
      <c r="H44" s="83"/>
      <c r="I44" s="87"/>
      <c r="J44" s="88">
        <f>Achat18[[#This Row],[Prix total
  HD (HT)]]+Achat18[[#This Row],[Douane]]</f>
        <v>0</v>
      </c>
      <c r="K44" s="84"/>
      <c r="L44" s="85" t="e">
        <f>SUM(#REF!)</f>
        <v>#REF!</v>
      </c>
      <c r="N44" s="86"/>
      <c r="O44" s="80"/>
      <c r="P44" s="80"/>
      <c r="Q44" s="80"/>
      <c r="R44" s="80"/>
      <c r="S44" s="80"/>
      <c r="T44" s="80"/>
      <c r="U44" s="80"/>
      <c r="V44" s="80"/>
    </row>
    <row r="45" spans="1:22" ht="15.75" x14ac:dyDescent="0.25">
      <c r="A45" s="77"/>
      <c r="B45" s="82"/>
      <c r="C45" s="200" t="s">
        <v>224</v>
      </c>
      <c r="D45" s="82"/>
      <c r="E45" s="61" t="s">
        <v>203</v>
      </c>
      <c r="F45" s="226">
        <v>16</v>
      </c>
      <c r="G45" s="59"/>
      <c r="H45" s="83"/>
      <c r="I45" s="87"/>
      <c r="J45" s="88">
        <f>Achat18[[#This Row],[Prix total
  HD (HT)]]+Achat18[[#This Row],[Douane]]</f>
        <v>0</v>
      </c>
      <c r="K45" s="84"/>
      <c r="L45" s="85" t="e">
        <f>SUM(#REF!)</f>
        <v>#REF!</v>
      </c>
      <c r="N45" s="86"/>
      <c r="O45" s="80"/>
      <c r="P45" s="80"/>
      <c r="Q45" s="80"/>
      <c r="R45" s="80"/>
      <c r="S45" s="80"/>
      <c r="T45" s="80"/>
      <c r="U45" s="80"/>
      <c r="V45" s="80"/>
    </row>
    <row r="46" spans="1:22" ht="15.75" x14ac:dyDescent="0.25">
      <c r="A46" s="77"/>
      <c r="B46" s="82"/>
      <c r="C46" s="211" t="s">
        <v>262</v>
      </c>
      <c r="D46" s="212"/>
      <c r="E46" s="212"/>
      <c r="F46" s="227"/>
      <c r="G46" s="59"/>
      <c r="H46" s="83"/>
      <c r="I46" s="87"/>
      <c r="J46" s="88">
        <f>Achat18[[#This Row],[Prix total
  HD (HT)]]+Achat18[[#This Row],[Douane]]</f>
        <v>0</v>
      </c>
      <c r="K46" s="84"/>
      <c r="L46" s="85" t="e">
        <f>SUM(#REF!)</f>
        <v>#REF!</v>
      </c>
      <c r="N46" s="86"/>
      <c r="O46" s="80"/>
      <c r="P46" s="80"/>
      <c r="Q46" s="80"/>
      <c r="R46" s="80"/>
      <c r="S46" s="80"/>
      <c r="T46" s="80"/>
      <c r="U46" s="80"/>
      <c r="V46" s="80"/>
    </row>
    <row r="47" spans="1:22" ht="15.75" x14ac:dyDescent="0.25">
      <c r="A47" s="77"/>
      <c r="B47" s="82"/>
      <c r="C47" s="198" t="s">
        <v>228</v>
      </c>
      <c r="D47" s="82"/>
      <c r="E47" s="207" t="s">
        <v>205</v>
      </c>
      <c r="F47" s="224">
        <v>200</v>
      </c>
      <c r="G47" s="59"/>
      <c r="H47" s="83"/>
      <c r="I47" s="87"/>
      <c r="J47" s="88">
        <f>Achat18[[#This Row],[Prix total
  HD (HT)]]+Achat18[[#This Row],[Douane]]</f>
        <v>0</v>
      </c>
      <c r="K47" s="84"/>
      <c r="L47" s="85" t="e">
        <f>SUM(#REF!)</f>
        <v>#REF!</v>
      </c>
      <c r="N47" s="86"/>
      <c r="O47" s="80"/>
      <c r="P47" s="80"/>
      <c r="Q47" s="80"/>
      <c r="R47" s="80"/>
      <c r="S47" s="80"/>
      <c r="T47" s="80"/>
      <c r="U47" s="80"/>
      <c r="V47" s="80"/>
    </row>
    <row r="48" spans="1:22" ht="15.75" x14ac:dyDescent="0.25">
      <c r="A48" s="77"/>
      <c r="B48" s="82"/>
      <c r="C48" s="198" t="s">
        <v>229</v>
      </c>
      <c r="D48" s="82"/>
      <c r="E48" s="207" t="s">
        <v>203</v>
      </c>
      <c r="F48" s="224">
        <v>9</v>
      </c>
      <c r="G48" s="59"/>
      <c r="H48" s="83"/>
      <c r="I48" s="87"/>
      <c r="J48" s="88">
        <f>Achat18[[#This Row],[Prix total
  HD (HT)]]+Achat18[[#This Row],[Douane]]</f>
        <v>0</v>
      </c>
      <c r="K48" s="84"/>
      <c r="L48" s="85" t="e">
        <f>SUM(#REF!)</f>
        <v>#REF!</v>
      </c>
      <c r="N48" s="86"/>
      <c r="O48" s="80"/>
      <c r="P48" s="80"/>
      <c r="Q48" s="80"/>
      <c r="R48" s="80"/>
      <c r="S48" s="80"/>
      <c r="T48" s="80"/>
      <c r="U48" s="80"/>
      <c r="V48" s="80"/>
    </row>
    <row r="49" spans="1:22" ht="15.75" x14ac:dyDescent="0.25">
      <c r="A49" s="77"/>
      <c r="B49" s="82"/>
      <c r="C49" s="199" t="s">
        <v>230</v>
      </c>
      <c r="D49" s="82"/>
      <c r="E49" s="208" t="s">
        <v>205</v>
      </c>
      <c r="F49" s="225">
        <v>9</v>
      </c>
      <c r="G49" s="59"/>
      <c r="H49" s="83"/>
      <c r="I49" s="87"/>
      <c r="J49" s="88">
        <f>Achat18[[#This Row],[Prix total
  HD (HT)]]+Achat18[[#This Row],[Douane]]</f>
        <v>0</v>
      </c>
      <c r="K49" s="84"/>
      <c r="L49" s="85" t="e">
        <f>SUM(#REF!)</f>
        <v>#REF!</v>
      </c>
      <c r="N49" s="86"/>
      <c r="O49" s="80"/>
      <c r="P49" s="80"/>
      <c r="Q49" s="80"/>
      <c r="R49" s="80"/>
      <c r="S49" s="80"/>
      <c r="T49" s="80"/>
      <c r="U49" s="80"/>
      <c r="V49" s="80"/>
    </row>
    <row r="50" spans="1:22" ht="15.75" x14ac:dyDescent="0.25">
      <c r="A50" s="77"/>
      <c r="B50" s="82"/>
      <c r="C50" s="200" t="s">
        <v>231</v>
      </c>
      <c r="D50" s="82"/>
      <c r="E50" s="207" t="s">
        <v>205</v>
      </c>
      <c r="F50" s="224">
        <v>2</v>
      </c>
      <c r="G50" s="59"/>
      <c r="H50" s="83"/>
      <c r="I50" s="87"/>
      <c r="J50" s="88">
        <f>Achat18[[#This Row],[Prix total
  HD (HT)]]+Achat18[[#This Row],[Douane]]</f>
        <v>0</v>
      </c>
      <c r="K50" s="84"/>
      <c r="L50" s="85" t="e">
        <f>SUM(#REF!)</f>
        <v>#REF!</v>
      </c>
      <c r="N50" s="86"/>
      <c r="O50" s="80"/>
      <c r="P50" s="80"/>
      <c r="Q50" s="80"/>
      <c r="R50" s="80"/>
      <c r="S50" s="80"/>
      <c r="T50" s="80"/>
      <c r="U50" s="80"/>
      <c r="V50" s="80"/>
    </row>
    <row r="51" spans="1:22" ht="15.75" x14ac:dyDescent="0.25">
      <c r="A51" s="77"/>
      <c r="B51" s="82"/>
      <c r="C51" s="200" t="s">
        <v>232</v>
      </c>
      <c r="D51" s="82"/>
      <c r="E51" s="207" t="s">
        <v>203</v>
      </c>
      <c r="F51" s="224">
        <v>1</v>
      </c>
      <c r="G51" s="59"/>
      <c r="H51" s="83"/>
      <c r="I51" s="87"/>
      <c r="J51" s="88">
        <f>Achat18[[#This Row],[Prix total
  HD (HT)]]+Achat18[[#This Row],[Douane]]</f>
        <v>0</v>
      </c>
      <c r="K51" s="84"/>
      <c r="L51" s="85" t="e">
        <f>SUM(#REF!)</f>
        <v>#REF!</v>
      </c>
      <c r="N51" s="86"/>
      <c r="O51" s="80"/>
      <c r="P51" s="80"/>
      <c r="Q51" s="80"/>
      <c r="R51" s="80"/>
      <c r="S51" s="80"/>
      <c r="T51" s="80"/>
      <c r="U51" s="80"/>
      <c r="V51" s="80"/>
    </row>
    <row r="52" spans="1:22" ht="15.75" x14ac:dyDescent="0.25">
      <c r="A52" s="77"/>
      <c r="B52" s="82"/>
      <c r="C52" s="200" t="s">
        <v>233</v>
      </c>
      <c r="D52" s="82"/>
      <c r="E52" s="207" t="s">
        <v>203</v>
      </c>
      <c r="F52" s="224">
        <v>1</v>
      </c>
      <c r="G52" s="59"/>
      <c r="H52" s="83"/>
      <c r="I52" s="87"/>
      <c r="J52" s="88">
        <f>Achat18[[#This Row],[Prix total
  HD (HT)]]+Achat18[[#This Row],[Douane]]</f>
        <v>0</v>
      </c>
      <c r="K52" s="84"/>
      <c r="L52" s="85" t="e">
        <f>SUM(#REF!)</f>
        <v>#REF!</v>
      </c>
      <c r="N52" s="86"/>
      <c r="O52" s="80"/>
      <c r="P52" s="80"/>
      <c r="Q52" s="80"/>
      <c r="R52" s="80"/>
      <c r="S52" s="80"/>
      <c r="T52" s="80"/>
      <c r="U52" s="80"/>
      <c r="V52" s="80"/>
    </row>
    <row r="53" spans="1:22" ht="15.75" x14ac:dyDescent="0.25">
      <c r="A53" s="77"/>
      <c r="B53" s="82"/>
      <c r="C53" s="200" t="s">
        <v>234</v>
      </c>
      <c r="D53" s="82"/>
      <c r="E53" s="207" t="s">
        <v>203</v>
      </c>
      <c r="F53" s="224">
        <v>6</v>
      </c>
      <c r="G53" s="59"/>
      <c r="H53" s="83"/>
      <c r="I53" s="87"/>
      <c r="J53" s="88">
        <f>Achat18[[#This Row],[Prix total
  HD (HT)]]+Achat18[[#This Row],[Douane]]</f>
        <v>0</v>
      </c>
      <c r="K53" s="84"/>
      <c r="L53" s="85" t="e">
        <f>SUM(#REF!)</f>
        <v>#REF!</v>
      </c>
      <c r="N53" s="86"/>
      <c r="O53" s="80"/>
      <c r="P53" s="80"/>
      <c r="Q53" s="80"/>
      <c r="R53" s="80"/>
      <c r="S53" s="80"/>
      <c r="T53" s="80"/>
      <c r="U53" s="80"/>
      <c r="V53" s="80"/>
    </row>
    <row r="54" spans="1:22" ht="15.75" x14ac:dyDescent="0.25">
      <c r="A54" s="77"/>
      <c r="B54" s="82"/>
      <c r="C54" s="200" t="s">
        <v>235</v>
      </c>
      <c r="D54" s="82"/>
      <c r="E54" s="207" t="s">
        <v>203</v>
      </c>
      <c r="F54" s="224">
        <v>2</v>
      </c>
      <c r="G54" s="59"/>
      <c r="H54" s="83"/>
      <c r="I54" s="87"/>
      <c r="J54" s="88">
        <f>Achat18[[#This Row],[Prix total
  HD (HT)]]+Achat18[[#This Row],[Douane]]</f>
        <v>0</v>
      </c>
      <c r="K54" s="84"/>
      <c r="L54" s="85" t="e">
        <f>SUM(#REF!)</f>
        <v>#REF!</v>
      </c>
      <c r="N54" s="86"/>
      <c r="O54" s="80"/>
      <c r="P54" s="80"/>
      <c r="Q54" s="80"/>
      <c r="R54" s="80"/>
      <c r="S54" s="80"/>
      <c r="T54" s="80"/>
      <c r="U54" s="80"/>
      <c r="V54" s="80"/>
    </row>
    <row r="55" spans="1:22" ht="15.75" x14ac:dyDescent="0.25">
      <c r="A55" s="77"/>
      <c r="B55" s="82"/>
      <c r="C55" s="200" t="s">
        <v>236</v>
      </c>
      <c r="D55" s="82"/>
      <c r="E55" s="207" t="s">
        <v>203</v>
      </c>
      <c r="F55" s="224">
        <v>2</v>
      </c>
      <c r="G55" s="59"/>
      <c r="H55" s="83"/>
      <c r="I55" s="87"/>
      <c r="J55" s="88">
        <f>Achat18[[#This Row],[Prix total
  HD (HT)]]+Achat18[[#This Row],[Douane]]</f>
        <v>0</v>
      </c>
      <c r="K55" s="84"/>
      <c r="L55" s="85" t="e">
        <f>SUM(#REF!)</f>
        <v>#REF!</v>
      </c>
      <c r="N55" s="86"/>
      <c r="O55" s="80"/>
      <c r="P55" s="80"/>
      <c r="Q55" s="80"/>
      <c r="R55" s="80"/>
      <c r="S55" s="80"/>
      <c r="T55" s="80"/>
      <c r="U55" s="80"/>
      <c r="V55" s="80"/>
    </row>
    <row r="56" spans="1:22" ht="15.75" x14ac:dyDescent="0.25">
      <c r="A56" s="77"/>
      <c r="B56" s="82"/>
      <c r="C56" s="200" t="s">
        <v>237</v>
      </c>
      <c r="D56" s="82"/>
      <c r="E56" s="207" t="s">
        <v>203</v>
      </c>
      <c r="F56" s="224">
        <v>6</v>
      </c>
      <c r="G56" s="59"/>
      <c r="H56" s="83"/>
      <c r="I56" s="87"/>
      <c r="J56" s="88">
        <f>Achat18[[#This Row],[Prix total
  HD (HT)]]+Achat18[[#This Row],[Douane]]</f>
        <v>0</v>
      </c>
      <c r="K56" s="84"/>
      <c r="L56" s="85" t="e">
        <f>SUM(#REF!)</f>
        <v>#REF!</v>
      </c>
      <c r="N56" s="86"/>
      <c r="O56" s="80"/>
      <c r="P56" s="80"/>
      <c r="Q56" s="80"/>
      <c r="R56" s="80"/>
      <c r="S56" s="80"/>
      <c r="T56" s="80"/>
      <c r="U56" s="80"/>
      <c r="V56" s="80"/>
    </row>
    <row r="57" spans="1:22" ht="15.75" x14ac:dyDescent="0.25">
      <c r="A57" s="77"/>
      <c r="B57" s="82"/>
      <c r="C57" s="200" t="s">
        <v>238</v>
      </c>
      <c r="D57" s="82"/>
      <c r="E57" s="207" t="s">
        <v>203</v>
      </c>
      <c r="F57" s="226">
        <v>2</v>
      </c>
      <c r="G57" s="59"/>
      <c r="H57" s="83"/>
      <c r="I57" s="87"/>
      <c r="J57" s="88">
        <f>Achat18[[#This Row],[Prix total
  HD (HT)]]+Achat18[[#This Row],[Douane]]</f>
        <v>0</v>
      </c>
      <c r="K57" s="84"/>
      <c r="L57" s="85" t="e">
        <f>SUM(#REF!)</f>
        <v>#REF!</v>
      </c>
      <c r="N57" s="86"/>
      <c r="O57" s="80"/>
      <c r="P57" s="80"/>
      <c r="Q57" s="80"/>
      <c r="R57" s="80"/>
      <c r="S57" s="80"/>
      <c r="T57" s="80"/>
      <c r="U57" s="80"/>
      <c r="V57" s="80"/>
    </row>
    <row r="58" spans="1:22" ht="15.75" x14ac:dyDescent="0.25">
      <c r="A58" s="77"/>
      <c r="B58" s="82"/>
      <c r="C58" s="200" t="s">
        <v>239</v>
      </c>
      <c r="D58" s="82"/>
      <c r="E58" s="207" t="s">
        <v>203</v>
      </c>
      <c r="F58" s="226">
        <v>2</v>
      </c>
      <c r="G58" s="59"/>
      <c r="H58" s="83"/>
      <c r="I58" s="87"/>
      <c r="J58" s="88">
        <f>Achat18[[#This Row],[Prix total
  HD (HT)]]+Achat18[[#This Row],[Douane]]</f>
        <v>0</v>
      </c>
      <c r="K58" s="84"/>
      <c r="L58" s="85" t="e">
        <f>SUM(#REF!)</f>
        <v>#REF!</v>
      </c>
      <c r="N58" s="86"/>
      <c r="O58" s="80"/>
      <c r="P58" s="80"/>
      <c r="Q58" s="80"/>
      <c r="R58" s="80"/>
      <c r="S58" s="80"/>
      <c r="T58" s="80"/>
      <c r="U58" s="80"/>
      <c r="V58" s="80"/>
    </row>
    <row r="59" spans="1:22" ht="15.75" x14ac:dyDescent="0.25">
      <c r="A59" s="77"/>
      <c r="B59" s="82"/>
      <c r="C59" s="200" t="s">
        <v>240</v>
      </c>
      <c r="D59" s="82"/>
      <c r="E59" s="207" t="s">
        <v>203</v>
      </c>
      <c r="F59" s="226">
        <v>2</v>
      </c>
      <c r="G59" s="59"/>
      <c r="H59" s="83"/>
      <c r="I59" s="87"/>
      <c r="J59" s="88">
        <f>Achat18[[#This Row],[Prix total
  HD (HT)]]+Achat18[[#This Row],[Douane]]</f>
        <v>0</v>
      </c>
      <c r="K59" s="84"/>
      <c r="L59" s="85" t="e">
        <f>SUM(#REF!)</f>
        <v>#REF!</v>
      </c>
      <c r="N59" s="86"/>
      <c r="O59" s="80"/>
      <c r="P59" s="80"/>
      <c r="Q59" s="80"/>
      <c r="R59" s="80"/>
      <c r="S59" s="80"/>
      <c r="T59" s="80"/>
      <c r="U59" s="80"/>
      <c r="V59" s="80"/>
    </row>
    <row r="60" spans="1:22" ht="15.75" x14ac:dyDescent="0.25">
      <c r="A60" s="77"/>
      <c r="B60" s="82"/>
      <c r="C60" s="200" t="s">
        <v>241</v>
      </c>
      <c r="D60" s="82"/>
      <c r="E60" s="207" t="s">
        <v>203</v>
      </c>
      <c r="F60" s="226">
        <v>2</v>
      </c>
      <c r="G60" s="59"/>
      <c r="H60" s="83"/>
      <c r="I60" s="87"/>
      <c r="J60" s="88">
        <f>Achat18[[#This Row],[Prix total
  HD (HT)]]+Achat18[[#This Row],[Douane]]</f>
        <v>0</v>
      </c>
      <c r="K60" s="84"/>
      <c r="L60" s="85" t="e">
        <f>SUM(#REF!)</f>
        <v>#REF!</v>
      </c>
      <c r="N60" s="86"/>
      <c r="O60" s="80"/>
      <c r="P60" s="80"/>
      <c r="Q60" s="80"/>
      <c r="R60" s="80"/>
      <c r="S60" s="80"/>
      <c r="T60" s="80"/>
      <c r="U60" s="80"/>
      <c r="V60" s="80"/>
    </row>
    <row r="61" spans="1:22" ht="15.75" x14ac:dyDescent="0.25">
      <c r="A61" s="77"/>
      <c r="B61" s="82"/>
      <c r="C61" s="204" t="s">
        <v>242</v>
      </c>
      <c r="D61" s="82"/>
      <c r="E61" s="209" t="s">
        <v>205</v>
      </c>
      <c r="F61" s="224">
        <v>50</v>
      </c>
      <c r="G61" s="59"/>
      <c r="H61" s="83"/>
      <c r="I61" s="87"/>
      <c r="J61" s="88">
        <f>Achat18[[#This Row],[Prix total
  HD (HT)]]+Achat18[[#This Row],[Douane]]</f>
        <v>0</v>
      </c>
      <c r="K61" s="84"/>
      <c r="L61" s="85" t="e">
        <f>SUM(#REF!)</f>
        <v>#REF!</v>
      </c>
      <c r="N61" s="86"/>
      <c r="O61" s="80"/>
      <c r="P61" s="80"/>
      <c r="Q61" s="80"/>
      <c r="R61" s="80"/>
      <c r="S61" s="80"/>
      <c r="T61" s="80"/>
      <c r="U61" s="80"/>
      <c r="V61" s="80"/>
    </row>
    <row r="62" spans="1:22" ht="15.75" x14ac:dyDescent="0.25">
      <c r="A62" s="77"/>
      <c r="B62" s="82"/>
      <c r="C62" s="204" t="s">
        <v>243</v>
      </c>
      <c r="D62" s="82"/>
      <c r="E62" s="209" t="s">
        <v>205</v>
      </c>
      <c r="F62" s="224">
        <v>20</v>
      </c>
      <c r="G62" s="59"/>
      <c r="H62" s="83"/>
      <c r="I62" s="87"/>
      <c r="J62" s="88">
        <f>Achat18[[#This Row],[Prix total
  HD (HT)]]+Achat18[[#This Row],[Douane]]</f>
        <v>0</v>
      </c>
      <c r="K62" s="84"/>
      <c r="L62" s="85" t="e">
        <f>SUM(#REF!)</f>
        <v>#REF!</v>
      </c>
      <c r="N62" s="86"/>
      <c r="O62" s="80"/>
      <c r="P62" s="80"/>
      <c r="Q62" s="80"/>
      <c r="R62" s="80"/>
      <c r="S62" s="80"/>
      <c r="T62" s="80"/>
      <c r="U62" s="80"/>
      <c r="V62" s="80"/>
    </row>
    <row r="63" spans="1:22" ht="15.75" x14ac:dyDescent="0.25">
      <c r="A63" s="77"/>
      <c r="B63" s="82"/>
      <c r="C63" s="204" t="s">
        <v>244</v>
      </c>
      <c r="D63" s="82"/>
      <c r="E63" s="209" t="s">
        <v>205</v>
      </c>
      <c r="F63" s="224">
        <v>50</v>
      </c>
      <c r="G63" s="59"/>
      <c r="H63" s="83"/>
      <c r="I63" s="87"/>
      <c r="J63" s="88">
        <f>Achat18[[#This Row],[Prix total
  HD (HT)]]+Achat18[[#This Row],[Douane]]</f>
        <v>0</v>
      </c>
      <c r="K63" s="84"/>
      <c r="L63" s="85" t="e">
        <f>SUM(#REF!)</f>
        <v>#REF!</v>
      </c>
      <c r="N63" s="86"/>
      <c r="O63" s="80"/>
      <c r="P63" s="80"/>
      <c r="Q63" s="80"/>
      <c r="R63" s="80"/>
      <c r="S63" s="80"/>
      <c r="T63" s="80"/>
      <c r="U63" s="80"/>
      <c r="V63" s="80"/>
    </row>
    <row r="64" spans="1:22" ht="15.75" x14ac:dyDescent="0.25">
      <c r="A64" s="77"/>
      <c r="B64" s="82"/>
      <c r="C64" s="204" t="s">
        <v>245</v>
      </c>
      <c r="D64" s="82"/>
      <c r="E64" s="209" t="s">
        <v>205</v>
      </c>
      <c r="F64" s="224">
        <v>15</v>
      </c>
      <c r="G64" s="59"/>
      <c r="H64" s="83"/>
      <c r="I64" s="87"/>
      <c r="J64" s="88">
        <f>Achat18[[#This Row],[Prix total
  HD (HT)]]+Achat18[[#This Row],[Douane]]</f>
        <v>0</v>
      </c>
      <c r="K64" s="84"/>
      <c r="L64" s="85" t="e">
        <f>SUM(#REF!)</f>
        <v>#REF!</v>
      </c>
      <c r="N64" s="86"/>
      <c r="O64" s="80"/>
      <c r="P64" s="80"/>
      <c r="Q64" s="80"/>
      <c r="R64" s="80"/>
      <c r="S64" s="80"/>
      <c r="T64" s="80"/>
      <c r="U64" s="80"/>
      <c r="V64" s="80"/>
    </row>
    <row r="65" spans="1:22" ht="15.75" x14ac:dyDescent="0.25">
      <c r="A65" s="77"/>
      <c r="B65" s="82"/>
      <c r="C65" s="204" t="s">
        <v>246</v>
      </c>
      <c r="D65" s="82"/>
      <c r="E65" s="209" t="s">
        <v>205</v>
      </c>
      <c r="F65" s="224">
        <v>15</v>
      </c>
      <c r="G65" s="59"/>
      <c r="H65" s="83"/>
      <c r="I65" s="87"/>
      <c r="J65" s="88">
        <f>Achat18[[#This Row],[Prix total
  HD (HT)]]+Achat18[[#This Row],[Douane]]</f>
        <v>0</v>
      </c>
      <c r="K65" s="84"/>
      <c r="L65" s="85" t="e">
        <f>SUM(#REF!)</f>
        <v>#REF!</v>
      </c>
      <c r="N65" s="86"/>
      <c r="O65" s="80"/>
      <c r="P65" s="80"/>
      <c r="Q65" s="80"/>
      <c r="R65" s="80"/>
      <c r="S65" s="80"/>
      <c r="T65" s="80"/>
      <c r="U65" s="80"/>
      <c r="V65" s="80"/>
    </row>
    <row r="66" spans="1:22" ht="15.75" x14ac:dyDescent="0.25">
      <c r="A66" s="77"/>
      <c r="B66" s="82"/>
      <c r="C66" s="204" t="s">
        <v>247</v>
      </c>
      <c r="D66" s="82"/>
      <c r="E66" s="209" t="s">
        <v>205</v>
      </c>
      <c r="F66" s="224">
        <v>10</v>
      </c>
      <c r="G66" s="59"/>
      <c r="H66" s="83"/>
      <c r="I66" s="87"/>
      <c r="J66" s="88">
        <f>Achat18[[#This Row],[Prix total
  HD (HT)]]+Achat18[[#This Row],[Douane]]</f>
        <v>0</v>
      </c>
      <c r="K66" s="84"/>
      <c r="L66" s="85" t="e">
        <f>SUM(#REF!)</f>
        <v>#REF!</v>
      </c>
      <c r="N66" s="86"/>
      <c r="O66" s="80"/>
      <c r="P66" s="80"/>
      <c r="Q66" s="80"/>
      <c r="R66" s="80"/>
      <c r="S66" s="80"/>
      <c r="T66" s="80"/>
      <c r="U66" s="80"/>
      <c r="V66" s="80"/>
    </row>
    <row r="67" spans="1:22" ht="15.75" x14ac:dyDescent="0.25">
      <c r="A67" s="77"/>
      <c r="B67" s="82"/>
      <c r="C67" s="204" t="s">
        <v>248</v>
      </c>
      <c r="D67" s="82"/>
      <c r="E67" s="209" t="s">
        <v>205</v>
      </c>
      <c r="F67" s="224">
        <v>1</v>
      </c>
      <c r="G67" s="59"/>
      <c r="H67" s="83"/>
      <c r="I67" s="87"/>
      <c r="J67" s="88">
        <f>Achat18[[#This Row],[Prix total
  HD (HT)]]+Achat18[[#This Row],[Douane]]</f>
        <v>0</v>
      </c>
      <c r="K67" s="84"/>
      <c r="L67" s="85" t="e">
        <f>SUM(#REF!)</f>
        <v>#REF!</v>
      </c>
      <c r="N67" s="86"/>
      <c r="O67" s="80"/>
      <c r="P67" s="80"/>
      <c r="Q67" s="80"/>
      <c r="R67" s="80"/>
      <c r="S67" s="80"/>
      <c r="T67" s="80"/>
      <c r="U67" s="80"/>
      <c r="V67" s="80"/>
    </row>
    <row r="68" spans="1:22" ht="15.75" x14ac:dyDescent="0.25">
      <c r="A68" s="77"/>
      <c r="B68" s="82"/>
      <c r="C68" s="204" t="s">
        <v>249</v>
      </c>
      <c r="D68" s="82"/>
      <c r="E68" s="209" t="s">
        <v>203</v>
      </c>
      <c r="F68" s="224">
        <v>200</v>
      </c>
      <c r="G68" s="59"/>
      <c r="H68" s="83"/>
      <c r="I68" s="87"/>
      <c r="J68" s="88">
        <f>Achat18[[#This Row],[Prix total
  HD (HT)]]+Achat18[[#This Row],[Douane]]</f>
        <v>0</v>
      </c>
      <c r="K68" s="84"/>
      <c r="L68" s="85" t="e">
        <f>SUM(#REF!)</f>
        <v>#REF!</v>
      </c>
      <c r="N68" s="86"/>
      <c r="O68" s="80"/>
      <c r="P68" s="80"/>
      <c r="Q68" s="80"/>
      <c r="R68" s="80"/>
      <c r="S68" s="80"/>
      <c r="T68" s="80"/>
      <c r="U68" s="80"/>
      <c r="V68" s="80"/>
    </row>
    <row r="69" spans="1:22" ht="15.75" x14ac:dyDescent="0.25">
      <c r="A69" s="77"/>
      <c r="B69" s="82"/>
      <c r="C69" s="204" t="s">
        <v>250</v>
      </c>
      <c r="D69" s="82"/>
      <c r="E69" s="209" t="s">
        <v>203</v>
      </c>
      <c r="F69" s="224">
        <v>200</v>
      </c>
      <c r="G69" s="59"/>
      <c r="H69" s="83"/>
      <c r="I69" s="87"/>
      <c r="J69" s="88">
        <f>Achat18[[#This Row],[Prix total
  HD (HT)]]+Achat18[[#This Row],[Douane]]</f>
        <v>0</v>
      </c>
      <c r="K69" s="84"/>
      <c r="L69" s="85" t="e">
        <f>SUM(#REF!)</f>
        <v>#REF!</v>
      </c>
      <c r="N69" s="86"/>
      <c r="O69" s="80"/>
      <c r="P69" s="80"/>
      <c r="Q69" s="80"/>
      <c r="R69" s="80"/>
      <c r="S69" s="80"/>
      <c r="T69" s="80"/>
      <c r="U69" s="80"/>
      <c r="V69" s="80"/>
    </row>
    <row r="70" spans="1:22" ht="15.75" x14ac:dyDescent="0.25">
      <c r="A70" s="77"/>
      <c r="B70" s="82"/>
      <c r="C70" s="204" t="s">
        <v>251</v>
      </c>
      <c r="D70" s="82"/>
      <c r="E70" s="209" t="s">
        <v>203</v>
      </c>
      <c r="F70" s="224">
        <v>25</v>
      </c>
      <c r="G70" s="59"/>
      <c r="H70" s="83"/>
      <c r="I70" s="87"/>
      <c r="J70" s="88">
        <f>Achat18[[#This Row],[Prix total
  HD (HT)]]+Achat18[[#This Row],[Douane]]</f>
        <v>0</v>
      </c>
      <c r="K70" s="84"/>
      <c r="L70" s="85" t="e">
        <f>SUM(#REF!)</f>
        <v>#REF!</v>
      </c>
      <c r="N70" s="86"/>
      <c r="O70" s="80"/>
      <c r="P70" s="80"/>
      <c r="Q70" s="80"/>
      <c r="R70" s="80"/>
      <c r="S70" s="80"/>
      <c r="T70" s="80"/>
      <c r="U70" s="80"/>
      <c r="V70" s="80"/>
    </row>
    <row r="71" spans="1:22" ht="15.75" x14ac:dyDescent="0.25">
      <c r="A71" s="77"/>
      <c r="B71" s="82"/>
      <c r="C71" s="204" t="s">
        <v>252</v>
      </c>
      <c r="D71" s="82"/>
      <c r="E71" s="209" t="s">
        <v>203</v>
      </c>
      <c r="F71" s="224">
        <v>100</v>
      </c>
      <c r="G71" s="59"/>
      <c r="H71" s="83"/>
      <c r="I71" s="87"/>
      <c r="J71" s="88">
        <f>Achat18[[#This Row],[Prix total
  HD (HT)]]+Achat18[[#This Row],[Douane]]</f>
        <v>0</v>
      </c>
      <c r="K71" s="84"/>
      <c r="L71" s="85" t="e">
        <f>SUM(#REF!)</f>
        <v>#REF!</v>
      </c>
      <c r="N71" s="86"/>
      <c r="O71" s="80"/>
      <c r="P71" s="80"/>
      <c r="Q71" s="80"/>
      <c r="R71" s="80"/>
      <c r="S71" s="80"/>
      <c r="T71" s="80"/>
      <c r="U71" s="80"/>
      <c r="V71" s="80"/>
    </row>
    <row r="72" spans="1:22" ht="15.75" x14ac:dyDescent="0.25">
      <c r="A72" s="77"/>
      <c r="B72" s="82"/>
      <c r="C72" s="204" t="s">
        <v>253</v>
      </c>
      <c r="D72" s="82"/>
      <c r="E72" s="209" t="s">
        <v>203</v>
      </c>
      <c r="F72" s="224">
        <v>10</v>
      </c>
      <c r="G72" s="59"/>
      <c r="H72" s="83"/>
      <c r="I72" s="87"/>
      <c r="J72" s="88">
        <f>Achat18[[#This Row],[Prix total
  HD (HT)]]+Achat18[[#This Row],[Douane]]</f>
        <v>0</v>
      </c>
      <c r="K72" s="84"/>
      <c r="L72" s="85" t="e">
        <f>SUM(#REF!)</f>
        <v>#REF!</v>
      </c>
      <c r="N72" s="86"/>
      <c r="O72" s="80"/>
      <c r="P72" s="80"/>
      <c r="Q72" s="80"/>
      <c r="R72" s="80"/>
      <c r="S72" s="80"/>
      <c r="T72" s="80"/>
      <c r="U72" s="80"/>
      <c r="V72" s="80"/>
    </row>
    <row r="73" spans="1:22" ht="15.75" x14ac:dyDescent="0.25">
      <c r="A73" s="77"/>
      <c r="B73" s="82"/>
      <c r="C73" s="204" t="s">
        <v>254</v>
      </c>
      <c r="D73" s="82"/>
      <c r="E73" s="209" t="s">
        <v>203</v>
      </c>
      <c r="F73" s="224">
        <v>35</v>
      </c>
      <c r="G73" s="59"/>
      <c r="H73" s="83"/>
      <c r="I73" s="87"/>
      <c r="J73" s="88">
        <f>Achat18[[#This Row],[Prix total
  HD (HT)]]+Achat18[[#This Row],[Douane]]</f>
        <v>0</v>
      </c>
      <c r="K73" s="84"/>
      <c r="L73" s="85" t="e">
        <f>SUM(#REF!)</f>
        <v>#REF!</v>
      </c>
      <c r="N73" s="86"/>
      <c r="O73" s="80"/>
      <c r="P73" s="80"/>
      <c r="Q73" s="80"/>
      <c r="R73" s="80"/>
      <c r="S73" s="80"/>
      <c r="T73" s="80"/>
      <c r="U73" s="80"/>
      <c r="V73" s="80"/>
    </row>
    <row r="74" spans="1:22" ht="15.75" x14ac:dyDescent="0.25">
      <c r="A74" s="77"/>
      <c r="B74" s="82"/>
      <c r="C74" s="204" t="s">
        <v>255</v>
      </c>
      <c r="D74" s="82"/>
      <c r="E74" s="209" t="s">
        <v>203</v>
      </c>
      <c r="F74" s="224">
        <v>1</v>
      </c>
      <c r="G74" s="59"/>
      <c r="H74" s="83"/>
      <c r="I74" s="87"/>
      <c r="J74" s="88">
        <f>Achat18[[#This Row],[Prix total
  HD (HT)]]+Achat18[[#This Row],[Douane]]</f>
        <v>0</v>
      </c>
      <c r="K74" s="84"/>
      <c r="L74" s="85" t="e">
        <f>SUM(#REF!)</f>
        <v>#REF!</v>
      </c>
      <c r="N74" s="86"/>
      <c r="O74" s="80"/>
      <c r="P74" s="80"/>
      <c r="Q74" s="80"/>
      <c r="R74" s="80"/>
      <c r="S74" s="80"/>
      <c r="T74" s="80"/>
      <c r="U74" s="80"/>
      <c r="V74" s="80"/>
    </row>
    <row r="75" spans="1:22" ht="15.75" x14ac:dyDescent="0.25">
      <c r="A75" s="77"/>
      <c r="B75" s="82"/>
      <c r="C75" s="205" t="s">
        <v>256</v>
      </c>
      <c r="D75" s="82"/>
      <c r="E75" s="209" t="s">
        <v>257</v>
      </c>
      <c r="F75" s="228">
        <v>2</v>
      </c>
      <c r="G75" s="59"/>
      <c r="H75" s="83"/>
      <c r="I75" s="87"/>
      <c r="J75" s="88">
        <f>Achat18[[#This Row],[Prix total
  HD (HT)]]+Achat18[[#This Row],[Douane]]</f>
        <v>0</v>
      </c>
      <c r="K75" s="84"/>
      <c r="L75" s="85" t="e">
        <f>SUM(#REF!)</f>
        <v>#REF!</v>
      </c>
      <c r="N75" s="86"/>
      <c r="O75" s="80"/>
      <c r="P75" s="80"/>
      <c r="Q75" s="80"/>
      <c r="R75" s="80"/>
      <c r="S75" s="80"/>
      <c r="T75" s="80"/>
      <c r="U75" s="80"/>
      <c r="V75" s="80"/>
    </row>
    <row r="76" spans="1:22" ht="15.75" x14ac:dyDescent="0.25">
      <c r="A76" s="77"/>
      <c r="B76" s="82"/>
      <c r="C76" s="206" t="s">
        <v>258</v>
      </c>
      <c r="D76" s="82"/>
      <c r="E76" s="207" t="s">
        <v>257</v>
      </c>
      <c r="F76" s="229">
        <v>2</v>
      </c>
      <c r="G76" s="59"/>
      <c r="H76" s="83"/>
      <c r="I76" s="87"/>
      <c r="J76" s="88">
        <f>Achat18[[#This Row],[Prix total
  HD (HT)]]+Achat18[[#This Row],[Douane]]</f>
        <v>0</v>
      </c>
      <c r="K76" s="84"/>
      <c r="L76" s="85" t="e">
        <f>SUM(#REF!)</f>
        <v>#REF!</v>
      </c>
      <c r="N76" s="86"/>
      <c r="O76" s="80"/>
      <c r="P76" s="80"/>
      <c r="Q76" s="80"/>
      <c r="R76" s="80"/>
      <c r="S76" s="80"/>
      <c r="T76" s="80"/>
      <c r="U76" s="80"/>
      <c r="V76" s="80"/>
    </row>
    <row r="77" spans="1:22" ht="15.75" x14ac:dyDescent="0.25">
      <c r="A77" s="77"/>
      <c r="B77" s="82"/>
      <c r="C77" s="206" t="s">
        <v>259</v>
      </c>
      <c r="D77" s="82"/>
      <c r="E77" s="207"/>
      <c r="F77" s="229">
        <v>100</v>
      </c>
      <c r="G77" s="59"/>
      <c r="H77" s="83"/>
      <c r="I77" s="87"/>
      <c r="J77" s="88">
        <f>Achat18[[#This Row],[Prix total
  HD (HT)]]+Achat18[[#This Row],[Douane]]</f>
        <v>0</v>
      </c>
      <c r="K77" s="84"/>
      <c r="L77" s="85" t="e">
        <f>SUM(#REF!)</f>
        <v>#REF!</v>
      </c>
      <c r="N77" s="86"/>
      <c r="O77" s="80"/>
      <c r="P77" s="80"/>
      <c r="Q77" s="80"/>
      <c r="R77" s="80"/>
      <c r="S77" s="80"/>
      <c r="T77" s="80"/>
      <c r="U77" s="80"/>
      <c r="V77" s="80"/>
    </row>
    <row r="78" spans="1:22" ht="15.75" x14ac:dyDescent="0.25">
      <c r="A78" s="77"/>
      <c r="B78" s="82"/>
      <c r="C78" s="206" t="s">
        <v>260</v>
      </c>
      <c r="D78" s="82"/>
      <c r="E78" s="207" t="s">
        <v>204</v>
      </c>
      <c r="F78" s="229">
        <v>1</v>
      </c>
      <c r="G78" s="59"/>
      <c r="H78" s="83"/>
      <c r="I78" s="87"/>
      <c r="J78" s="88">
        <f>Achat18[[#This Row],[Prix total
  HD (HT)]]+Achat18[[#This Row],[Douane]]</f>
        <v>0</v>
      </c>
      <c r="K78" s="84"/>
      <c r="L78" s="85" t="e">
        <f>SUM(#REF!)</f>
        <v>#REF!</v>
      </c>
      <c r="N78" s="86"/>
      <c r="O78" s="80"/>
      <c r="P78" s="80"/>
      <c r="Q78" s="80"/>
      <c r="R78" s="80"/>
      <c r="S78" s="80"/>
      <c r="T78" s="80"/>
      <c r="U78" s="80"/>
      <c r="V78" s="80"/>
    </row>
    <row r="79" spans="1:22" ht="15.75" x14ac:dyDescent="0.25">
      <c r="A79" s="77"/>
      <c r="B79" s="82"/>
      <c r="C79" s="201" t="s">
        <v>261</v>
      </c>
      <c r="D79" s="82"/>
      <c r="E79" s="210"/>
      <c r="F79" s="230"/>
      <c r="G79" s="59"/>
      <c r="H79" s="83"/>
      <c r="I79" s="87"/>
      <c r="J79" s="88">
        <f>Achat18[[#This Row],[Prix total
  HD (HT)]]+Achat18[[#This Row],[Douane]]</f>
        <v>0</v>
      </c>
      <c r="K79" s="84"/>
      <c r="L79" s="85" t="e">
        <f>SUM(#REF!)</f>
        <v>#REF!</v>
      </c>
      <c r="N79" s="86"/>
      <c r="O79" s="80"/>
      <c r="P79" s="80"/>
      <c r="Q79" s="80"/>
      <c r="R79" s="80"/>
      <c r="S79" s="80"/>
      <c r="T79" s="80"/>
      <c r="U79" s="80"/>
      <c r="V79" s="80"/>
    </row>
    <row r="80" spans="1:22" ht="15.75" x14ac:dyDescent="0.25">
      <c r="A80" s="77"/>
      <c r="B80" s="82"/>
      <c r="C80" s="198" t="s">
        <v>213</v>
      </c>
      <c r="D80" s="82"/>
      <c r="E80" s="207" t="s">
        <v>205</v>
      </c>
      <c r="F80" s="224">
        <v>6500</v>
      </c>
      <c r="G80" s="59"/>
      <c r="H80" s="83"/>
      <c r="I80" s="87"/>
      <c r="J80" s="88">
        <f>Achat18[[#This Row],[Prix total
  HD (HT)]]+Achat18[[#This Row],[Douane]]</f>
        <v>0</v>
      </c>
      <c r="K80" s="84"/>
      <c r="L80" s="85" t="e">
        <f>SUM(#REF!)</f>
        <v>#REF!</v>
      </c>
      <c r="N80" s="86"/>
      <c r="O80" s="80"/>
      <c r="P80" s="80"/>
      <c r="Q80" s="80"/>
      <c r="R80" s="80"/>
      <c r="S80" s="80"/>
      <c r="T80" s="80"/>
      <c r="U80" s="80"/>
      <c r="V80" s="80"/>
    </row>
    <row r="81" spans="1:22" ht="15.75" x14ac:dyDescent="0.25">
      <c r="A81" s="77"/>
      <c r="B81" s="82"/>
      <c r="C81" s="199" t="s">
        <v>214</v>
      </c>
      <c r="D81" s="82"/>
      <c r="E81" s="208" t="s">
        <v>203</v>
      </c>
      <c r="F81" s="225">
        <v>128</v>
      </c>
      <c r="G81" s="59"/>
      <c r="H81" s="83"/>
      <c r="I81" s="87"/>
      <c r="J81" s="88">
        <f>Achat18[[#This Row],[Prix total
  HD (HT)]]+Achat18[[#This Row],[Douane]]</f>
        <v>0</v>
      </c>
      <c r="K81" s="84"/>
      <c r="L81" s="85" t="e">
        <f>SUM(#REF!)</f>
        <v>#REF!</v>
      </c>
      <c r="N81" s="86"/>
      <c r="O81" s="80"/>
      <c r="P81" s="80"/>
      <c r="Q81" s="80"/>
      <c r="R81" s="80"/>
      <c r="S81" s="80"/>
      <c r="T81" s="80"/>
      <c r="U81" s="80"/>
      <c r="V81" s="80"/>
    </row>
    <row r="82" spans="1:22" ht="15.75" x14ac:dyDescent="0.25">
      <c r="A82" s="77"/>
      <c r="B82" s="82"/>
      <c r="C82" s="200" t="s">
        <v>215</v>
      </c>
      <c r="D82" s="82"/>
      <c r="E82" s="207" t="s">
        <v>205</v>
      </c>
      <c r="F82" s="224">
        <v>1000</v>
      </c>
      <c r="G82" s="59"/>
      <c r="H82" s="83"/>
      <c r="I82" s="87"/>
      <c r="J82" s="88">
        <f>Achat18[[#This Row],[Prix total
  HD (HT)]]+Achat18[[#This Row],[Douane]]</f>
        <v>0</v>
      </c>
      <c r="K82" s="84"/>
      <c r="L82" s="85" t="e">
        <f>SUM(#REF!)</f>
        <v>#REF!</v>
      </c>
      <c r="N82" s="86"/>
      <c r="O82" s="80"/>
      <c r="P82" s="80"/>
      <c r="Q82" s="80"/>
      <c r="R82" s="80"/>
      <c r="S82" s="80"/>
      <c r="T82" s="80"/>
      <c r="U82" s="80"/>
      <c r="V82" s="80"/>
    </row>
    <row r="83" spans="1:22" ht="15.75" x14ac:dyDescent="0.25">
      <c r="A83" s="77"/>
      <c r="B83" s="82"/>
      <c r="C83" s="200" t="s">
        <v>216</v>
      </c>
      <c r="D83" s="82"/>
      <c r="E83" s="207" t="s">
        <v>203</v>
      </c>
      <c r="F83" s="224">
        <v>650</v>
      </c>
      <c r="G83" s="59"/>
      <c r="H83" s="83"/>
      <c r="I83" s="87"/>
      <c r="J83" s="88">
        <f>Achat18[[#This Row],[Prix total
  HD (HT)]]+Achat18[[#This Row],[Douane]]</f>
        <v>0</v>
      </c>
      <c r="K83" s="84"/>
      <c r="L83" s="85" t="e">
        <f>SUM(#REF!)</f>
        <v>#REF!</v>
      </c>
      <c r="N83" s="86"/>
      <c r="O83" s="80"/>
      <c r="P83" s="80"/>
      <c r="Q83" s="80"/>
      <c r="R83" s="80"/>
      <c r="S83" s="80"/>
      <c r="T83" s="80"/>
      <c r="U83" s="80"/>
      <c r="V83" s="80"/>
    </row>
    <row r="84" spans="1:22" ht="15.75" x14ac:dyDescent="0.25">
      <c r="A84" s="77"/>
      <c r="B84" s="82"/>
      <c r="C84" s="200" t="s">
        <v>217</v>
      </c>
      <c r="D84" s="82"/>
      <c r="E84" s="207" t="s">
        <v>203</v>
      </c>
      <c r="F84" s="224">
        <v>650</v>
      </c>
      <c r="G84" s="59"/>
      <c r="H84" s="83"/>
      <c r="I84" s="87"/>
      <c r="J84" s="88">
        <f>Achat18[[#This Row],[Prix total
  HD (HT)]]+Achat18[[#This Row],[Douane]]</f>
        <v>0</v>
      </c>
      <c r="K84" s="84"/>
      <c r="L84" s="85" t="e">
        <f>SUM(#REF!)</f>
        <v>#REF!</v>
      </c>
      <c r="N84" s="86"/>
      <c r="O84" s="80"/>
      <c r="P84" s="80"/>
      <c r="Q84" s="80"/>
      <c r="R84" s="80"/>
      <c r="S84" s="80"/>
      <c r="T84" s="80"/>
      <c r="U84" s="80"/>
      <c r="V84" s="80"/>
    </row>
    <row r="85" spans="1:22" ht="15.75" x14ac:dyDescent="0.25">
      <c r="A85" s="77"/>
      <c r="B85" s="82"/>
      <c r="C85" s="200" t="s">
        <v>218</v>
      </c>
      <c r="D85" s="82"/>
      <c r="E85" s="207" t="s">
        <v>205</v>
      </c>
      <c r="F85" s="224">
        <v>13000</v>
      </c>
      <c r="G85" s="59"/>
      <c r="H85" s="83"/>
      <c r="I85" s="87"/>
      <c r="J85" s="88">
        <f>Achat18[[#This Row],[Prix total
  HD (HT)]]+Achat18[[#This Row],[Douane]]</f>
        <v>0</v>
      </c>
      <c r="K85" s="84"/>
      <c r="L85" s="85" t="e">
        <f>SUM(#REF!)</f>
        <v>#REF!</v>
      </c>
      <c r="N85" s="86"/>
      <c r="O85" s="80"/>
      <c r="P85" s="80"/>
      <c r="Q85" s="80"/>
      <c r="R85" s="80"/>
      <c r="S85" s="80"/>
      <c r="T85" s="80"/>
      <c r="U85" s="80"/>
      <c r="V85" s="80"/>
    </row>
    <row r="86" spans="1:22" ht="15.75" x14ac:dyDescent="0.25">
      <c r="A86" s="77"/>
      <c r="B86" s="82"/>
      <c r="C86" s="200" t="s">
        <v>202</v>
      </c>
      <c r="D86" s="82"/>
      <c r="E86" s="207" t="s">
        <v>205</v>
      </c>
      <c r="F86" s="224">
        <v>4800</v>
      </c>
      <c r="G86" s="59"/>
      <c r="H86" s="83"/>
      <c r="I86" s="87"/>
      <c r="J86" s="88">
        <f>Achat18[[#This Row],[Prix total
  HD (HT)]]+Achat18[[#This Row],[Douane]]</f>
        <v>0</v>
      </c>
      <c r="K86" s="84"/>
      <c r="L86" s="85" t="e">
        <f>SUM(#REF!)</f>
        <v>#REF!</v>
      </c>
      <c r="N86" s="86"/>
      <c r="O86" s="80"/>
      <c r="P86" s="80"/>
      <c r="Q86" s="80"/>
      <c r="R86" s="80"/>
      <c r="S86" s="80"/>
      <c r="T86" s="80"/>
      <c r="U86" s="80"/>
      <c r="V86" s="80"/>
    </row>
    <row r="87" spans="1:22" ht="15.75" x14ac:dyDescent="0.25">
      <c r="A87" s="77"/>
      <c r="B87" s="82"/>
      <c r="C87" s="200" t="s">
        <v>219</v>
      </c>
      <c r="D87" s="82"/>
      <c r="E87" s="207" t="s">
        <v>203</v>
      </c>
      <c r="F87" s="224">
        <v>128</v>
      </c>
      <c r="G87" s="59"/>
      <c r="H87" s="83"/>
      <c r="I87" s="87"/>
      <c r="J87" s="88">
        <f>Achat18[[#This Row],[Prix total
  HD (HT)]]+Achat18[[#This Row],[Douane]]</f>
        <v>0</v>
      </c>
      <c r="K87" s="84"/>
      <c r="L87" s="85" t="e">
        <f>SUM(#REF!)</f>
        <v>#REF!</v>
      </c>
      <c r="N87" s="86"/>
      <c r="O87" s="80"/>
      <c r="P87" s="80"/>
      <c r="Q87" s="80"/>
      <c r="R87" s="80"/>
      <c r="S87" s="80"/>
      <c r="T87" s="80"/>
      <c r="U87" s="80"/>
      <c r="V87" s="80"/>
    </row>
    <row r="88" spans="1:22" ht="15.75" x14ac:dyDescent="0.25">
      <c r="A88" s="77"/>
      <c r="B88" s="82"/>
      <c r="C88" s="200" t="s">
        <v>220</v>
      </c>
      <c r="D88" s="82"/>
      <c r="E88" s="207" t="s">
        <v>203</v>
      </c>
      <c r="F88" s="224">
        <v>128</v>
      </c>
      <c r="G88" s="59"/>
      <c r="H88" s="83"/>
      <c r="I88" s="87"/>
      <c r="J88" s="88">
        <f>Achat18[[#This Row],[Prix total
  HD (HT)]]+Achat18[[#This Row],[Douane]]</f>
        <v>0</v>
      </c>
      <c r="K88" s="84"/>
      <c r="L88" s="85" t="e">
        <f>SUM(#REF!)</f>
        <v>#REF!</v>
      </c>
      <c r="N88" s="86"/>
      <c r="O88" s="80"/>
      <c r="P88" s="80"/>
      <c r="Q88" s="80"/>
      <c r="R88" s="80"/>
      <c r="S88" s="80"/>
      <c r="T88" s="80"/>
      <c r="U88" s="80"/>
      <c r="V88" s="80"/>
    </row>
    <row r="89" spans="1:22" ht="15.75" x14ac:dyDescent="0.25">
      <c r="A89" s="77"/>
      <c r="B89" s="82"/>
      <c r="C89" s="200" t="s">
        <v>221</v>
      </c>
      <c r="D89" s="82"/>
      <c r="E89" s="207" t="s">
        <v>203</v>
      </c>
      <c r="F89" s="226">
        <v>128</v>
      </c>
      <c r="G89" s="59"/>
      <c r="H89" s="83"/>
      <c r="I89" s="87"/>
      <c r="J89" s="88">
        <f>Achat18[[#This Row],[Prix total
  HD (HT)]]+Achat18[[#This Row],[Douane]]</f>
        <v>0</v>
      </c>
      <c r="K89" s="84"/>
      <c r="L89" s="85" t="e">
        <f>SUM(#REF!)</f>
        <v>#REF!</v>
      </c>
      <c r="N89" s="86"/>
      <c r="O89" s="80"/>
      <c r="P89" s="80"/>
      <c r="Q89" s="80"/>
      <c r="R89" s="80"/>
      <c r="S89" s="80"/>
      <c r="T89" s="80"/>
      <c r="U89" s="80"/>
      <c r="V89" s="80"/>
    </row>
    <row r="90" spans="1:22" ht="15.75" x14ac:dyDescent="0.25">
      <c r="A90" s="77"/>
      <c r="B90" s="82"/>
      <c r="C90" s="200" t="s">
        <v>222</v>
      </c>
      <c r="D90" s="82"/>
      <c r="E90" s="207" t="s">
        <v>205</v>
      </c>
      <c r="F90" s="226">
        <v>1200</v>
      </c>
      <c r="G90" s="59"/>
      <c r="H90" s="83"/>
      <c r="I90" s="87"/>
      <c r="J90" s="88">
        <f>Achat18[[#This Row],[Prix total
  HD (HT)]]+Achat18[[#This Row],[Douane]]</f>
        <v>0</v>
      </c>
      <c r="K90" s="84"/>
      <c r="L90" s="85" t="e">
        <f>SUM(#REF!)</f>
        <v>#REF!</v>
      </c>
      <c r="N90" s="86"/>
      <c r="O90" s="80"/>
      <c r="P90" s="80"/>
      <c r="Q90" s="80"/>
      <c r="R90" s="80"/>
      <c r="S90" s="80"/>
      <c r="T90" s="80"/>
      <c r="U90" s="80"/>
      <c r="V90" s="80"/>
    </row>
    <row r="91" spans="1:22" ht="15.75" x14ac:dyDescent="0.25">
      <c r="A91" s="77"/>
      <c r="B91" s="82"/>
      <c r="C91" s="200" t="s">
        <v>223</v>
      </c>
      <c r="D91" s="82"/>
      <c r="E91" s="207" t="s">
        <v>205</v>
      </c>
      <c r="F91" s="226">
        <v>4800</v>
      </c>
      <c r="G91" s="59"/>
      <c r="H91" s="83"/>
      <c r="I91" s="87"/>
      <c r="J91" s="88">
        <f>Achat18[[#This Row],[Prix total
  HD (HT)]]+Achat18[[#This Row],[Douane]]</f>
        <v>0</v>
      </c>
      <c r="K91" s="84"/>
      <c r="L91" s="85" t="e">
        <f>SUM(#REF!)</f>
        <v>#REF!</v>
      </c>
      <c r="N91" s="86"/>
      <c r="O91" s="80"/>
      <c r="P91" s="80"/>
      <c r="Q91" s="80"/>
      <c r="R91" s="80"/>
      <c r="S91" s="80"/>
      <c r="T91" s="80"/>
      <c r="U91" s="80"/>
      <c r="V91" s="80"/>
    </row>
    <row r="92" spans="1:22" ht="15.75" x14ac:dyDescent="0.25">
      <c r="A92" s="77"/>
      <c r="B92" s="82"/>
      <c r="C92" s="200" t="s">
        <v>224</v>
      </c>
      <c r="D92" s="82"/>
      <c r="E92" s="207" t="s">
        <v>203</v>
      </c>
      <c r="F92" s="226">
        <v>128</v>
      </c>
      <c r="G92" s="59"/>
      <c r="H92" s="83"/>
      <c r="I92" s="87"/>
      <c r="J92" s="88">
        <f>Achat18[[#This Row],[Prix total
  HD (HT)]]+Achat18[[#This Row],[Douane]]</f>
        <v>0</v>
      </c>
      <c r="K92" s="84"/>
      <c r="L92" s="85" t="e">
        <f>SUM(#REF!)</f>
        <v>#REF!</v>
      </c>
      <c r="N92" s="86"/>
      <c r="O92" s="80"/>
      <c r="P92" s="80"/>
      <c r="Q92" s="80"/>
      <c r="R92" s="80"/>
      <c r="S92" s="80"/>
      <c r="T92" s="80"/>
      <c r="U92" s="80"/>
      <c r="V92" s="80"/>
    </row>
    <row r="93" spans="1:22" ht="15.75" x14ac:dyDescent="0.25">
      <c r="A93" s="77"/>
      <c r="B93" s="82"/>
      <c r="C93" s="201" t="s">
        <v>263</v>
      </c>
      <c r="D93" s="202"/>
      <c r="E93" s="203"/>
      <c r="F93" s="59"/>
      <c r="G93" s="59"/>
      <c r="H93" s="83"/>
      <c r="I93" s="87"/>
      <c r="J93" s="88">
        <f>Achat18[[#This Row],[Prix total
  HD (HT)]]+Achat18[[#This Row],[Douane]]</f>
        <v>0</v>
      </c>
      <c r="K93" s="84"/>
      <c r="L93" s="85" t="e">
        <f>SUM(#REF!)</f>
        <v>#REF!</v>
      </c>
      <c r="N93" s="86"/>
      <c r="O93" s="80"/>
      <c r="P93" s="80"/>
      <c r="Q93" s="80"/>
      <c r="R93" s="80"/>
      <c r="S93" s="80"/>
      <c r="T93" s="80"/>
      <c r="U93" s="80"/>
      <c r="V93" s="80"/>
    </row>
    <row r="94" spans="1:22" ht="15.75" x14ac:dyDescent="0.25">
      <c r="A94" s="77"/>
      <c r="B94" s="82"/>
      <c r="C94" s="198" t="s">
        <v>213</v>
      </c>
      <c r="D94" s="82"/>
      <c r="E94" s="207" t="s">
        <v>205</v>
      </c>
      <c r="F94" s="224">
        <v>8000</v>
      </c>
      <c r="G94" s="59"/>
      <c r="H94" s="83"/>
      <c r="I94" s="87"/>
      <c r="J94" s="88">
        <f>Achat18[[#This Row],[Prix total
  HD (HT)]]+Achat18[[#This Row],[Douane]]</f>
        <v>0</v>
      </c>
      <c r="K94" s="84"/>
      <c r="L94" s="85" t="e">
        <f>SUM(#REF!)</f>
        <v>#REF!</v>
      </c>
      <c r="N94" s="86"/>
      <c r="O94" s="80"/>
      <c r="P94" s="80"/>
      <c r="Q94" s="80"/>
      <c r="R94" s="80"/>
      <c r="S94" s="80"/>
      <c r="T94" s="80"/>
      <c r="U94" s="80"/>
      <c r="V94" s="80"/>
    </row>
    <row r="95" spans="1:22" ht="15.75" x14ac:dyDescent="0.25">
      <c r="A95" s="77"/>
      <c r="B95" s="82"/>
      <c r="C95" s="199" t="s">
        <v>214</v>
      </c>
      <c r="D95" s="82"/>
      <c r="E95" s="208" t="s">
        <v>203</v>
      </c>
      <c r="F95" s="225">
        <v>117</v>
      </c>
      <c r="G95" s="59"/>
      <c r="H95" s="83"/>
      <c r="I95" s="87"/>
      <c r="J95" s="88">
        <f>Achat18[[#This Row],[Prix total
  HD (HT)]]+Achat18[[#This Row],[Douane]]</f>
        <v>0</v>
      </c>
      <c r="K95" s="84"/>
      <c r="L95" s="85" t="e">
        <f>SUM(#REF!)</f>
        <v>#REF!</v>
      </c>
      <c r="N95" s="86"/>
      <c r="O95" s="80"/>
      <c r="P95" s="80"/>
      <c r="Q95" s="80"/>
      <c r="R95" s="80"/>
      <c r="S95" s="80"/>
      <c r="T95" s="80"/>
      <c r="U95" s="80"/>
      <c r="V95" s="80"/>
    </row>
    <row r="96" spans="1:22" ht="15.75" x14ac:dyDescent="0.25">
      <c r="A96" s="77"/>
      <c r="B96" s="82"/>
      <c r="C96" s="200" t="s">
        <v>215</v>
      </c>
      <c r="D96" s="82"/>
      <c r="E96" s="207" t="s">
        <v>205</v>
      </c>
      <c r="F96" s="224">
        <v>300</v>
      </c>
      <c r="G96" s="59"/>
      <c r="H96" s="83"/>
      <c r="I96" s="87"/>
      <c r="J96" s="88">
        <f>Achat18[[#This Row],[Prix total
  HD (HT)]]+Achat18[[#This Row],[Douane]]</f>
        <v>0</v>
      </c>
      <c r="K96" s="84"/>
      <c r="L96" s="85" t="e">
        <f>SUM(#REF!)</f>
        <v>#REF!</v>
      </c>
      <c r="N96" s="86"/>
      <c r="O96" s="80"/>
      <c r="P96" s="80"/>
      <c r="Q96" s="80"/>
      <c r="R96" s="80"/>
      <c r="S96" s="80"/>
      <c r="T96" s="80"/>
      <c r="U96" s="80"/>
      <c r="V96" s="80"/>
    </row>
    <row r="97" spans="1:22" ht="15.75" x14ac:dyDescent="0.25">
      <c r="A97" s="77"/>
      <c r="B97" s="82"/>
      <c r="C97" s="200" t="s">
        <v>216</v>
      </c>
      <c r="D97" s="82"/>
      <c r="E97" s="207" t="s">
        <v>203</v>
      </c>
      <c r="F97" s="224">
        <v>600</v>
      </c>
      <c r="G97" s="59"/>
      <c r="H97" s="83"/>
      <c r="I97" s="87"/>
      <c r="J97" s="88">
        <f>Achat18[[#This Row],[Prix total
  HD (HT)]]+Achat18[[#This Row],[Douane]]</f>
        <v>0</v>
      </c>
      <c r="K97" s="84"/>
      <c r="L97" s="85" t="e">
        <f>SUM(#REF!)</f>
        <v>#REF!</v>
      </c>
      <c r="N97" s="86"/>
      <c r="O97" s="80"/>
      <c r="P97" s="80"/>
      <c r="Q97" s="80"/>
      <c r="R97" s="80"/>
      <c r="S97" s="80"/>
      <c r="T97" s="80"/>
      <c r="U97" s="80"/>
      <c r="V97" s="80"/>
    </row>
    <row r="98" spans="1:22" ht="15.75" x14ac:dyDescent="0.25">
      <c r="A98" s="77"/>
      <c r="B98" s="82"/>
      <c r="C98" s="200" t="s">
        <v>217</v>
      </c>
      <c r="D98" s="82"/>
      <c r="E98" s="207" t="s">
        <v>203</v>
      </c>
      <c r="F98" s="224">
        <v>600</v>
      </c>
      <c r="G98" s="59"/>
      <c r="H98" s="83"/>
      <c r="I98" s="87"/>
      <c r="J98" s="88">
        <f>Achat18[[#This Row],[Prix total
  HD (HT)]]+Achat18[[#This Row],[Douane]]</f>
        <v>0</v>
      </c>
      <c r="K98" s="84"/>
      <c r="L98" s="85" t="e">
        <f>SUM(#REF!)</f>
        <v>#REF!</v>
      </c>
      <c r="N98" s="86"/>
      <c r="O98" s="80"/>
      <c r="P98" s="80"/>
      <c r="Q98" s="80"/>
      <c r="R98" s="80"/>
      <c r="S98" s="80"/>
      <c r="T98" s="80"/>
      <c r="U98" s="80"/>
      <c r="V98" s="80"/>
    </row>
    <row r="99" spans="1:22" ht="15.75" x14ac:dyDescent="0.25">
      <c r="A99" s="77"/>
      <c r="B99" s="82"/>
      <c r="C99" s="200" t="s">
        <v>218</v>
      </c>
      <c r="D99" s="82"/>
      <c r="E99" s="207" t="s">
        <v>205</v>
      </c>
      <c r="F99" s="224">
        <v>13000</v>
      </c>
      <c r="G99" s="59"/>
      <c r="H99" s="83"/>
      <c r="I99" s="87"/>
      <c r="J99" s="88">
        <f>Achat18[[#This Row],[Prix total
  HD (HT)]]+Achat18[[#This Row],[Douane]]</f>
        <v>0</v>
      </c>
      <c r="K99" s="84"/>
      <c r="L99" s="85" t="e">
        <f>SUM(#REF!)</f>
        <v>#REF!</v>
      </c>
      <c r="N99" s="86"/>
      <c r="O99" s="80"/>
      <c r="P99" s="80"/>
      <c r="Q99" s="80"/>
      <c r="R99" s="80"/>
      <c r="S99" s="80"/>
      <c r="T99" s="80"/>
      <c r="U99" s="80"/>
      <c r="V99" s="80"/>
    </row>
    <row r="100" spans="1:22" ht="15.75" x14ac:dyDescent="0.25">
      <c r="A100" s="77"/>
      <c r="B100" s="82"/>
      <c r="C100" s="200" t="s">
        <v>202</v>
      </c>
      <c r="D100" s="82"/>
      <c r="E100" s="207" t="s">
        <v>205</v>
      </c>
      <c r="F100" s="224">
        <v>6450</v>
      </c>
      <c r="G100" s="59"/>
      <c r="H100" s="83"/>
      <c r="I100" s="87"/>
      <c r="J100" s="88">
        <f>Achat18[[#This Row],[Prix total
  HD (HT)]]+Achat18[[#This Row],[Douane]]</f>
        <v>0</v>
      </c>
      <c r="K100" s="84"/>
      <c r="L100" s="85" t="e">
        <f>SUM(#REF!)</f>
        <v>#REF!</v>
      </c>
      <c r="N100" s="86"/>
      <c r="O100" s="80"/>
      <c r="P100" s="80"/>
      <c r="Q100" s="80"/>
      <c r="R100" s="80"/>
      <c r="S100" s="80"/>
      <c r="T100" s="80"/>
      <c r="U100" s="80"/>
      <c r="V100" s="80"/>
    </row>
    <row r="101" spans="1:22" ht="15.75" x14ac:dyDescent="0.25">
      <c r="A101" s="77"/>
      <c r="B101" s="82"/>
      <c r="C101" s="200" t="s">
        <v>219</v>
      </c>
      <c r="D101" s="82"/>
      <c r="E101" s="207" t="s">
        <v>203</v>
      </c>
      <c r="F101" s="224">
        <v>117</v>
      </c>
      <c r="G101" s="59"/>
      <c r="H101" s="83"/>
      <c r="I101" s="87"/>
      <c r="J101" s="88">
        <f>Achat18[[#This Row],[Prix total
  HD (HT)]]+Achat18[[#This Row],[Douane]]</f>
        <v>0</v>
      </c>
      <c r="K101" s="84"/>
      <c r="L101" s="85" t="e">
        <f>SUM(#REF!)</f>
        <v>#REF!</v>
      </c>
      <c r="N101" s="86"/>
      <c r="O101" s="80"/>
      <c r="P101" s="80"/>
      <c r="Q101" s="80"/>
      <c r="R101" s="80"/>
      <c r="S101" s="80"/>
      <c r="T101" s="80"/>
      <c r="U101" s="80"/>
      <c r="V101" s="80"/>
    </row>
    <row r="102" spans="1:22" ht="15.75" x14ac:dyDescent="0.25">
      <c r="A102" s="77"/>
      <c r="B102" s="82"/>
      <c r="C102" s="200" t="s">
        <v>220</v>
      </c>
      <c r="D102" s="82"/>
      <c r="E102" s="207" t="s">
        <v>203</v>
      </c>
      <c r="F102" s="224">
        <v>117</v>
      </c>
      <c r="G102" s="59"/>
      <c r="H102" s="83"/>
      <c r="I102" s="87"/>
      <c r="J102" s="88">
        <f>Achat18[[#This Row],[Prix total
  HD (HT)]]+Achat18[[#This Row],[Douane]]</f>
        <v>0</v>
      </c>
      <c r="K102" s="84"/>
      <c r="L102" s="85" t="e">
        <f>SUM(#REF!)</f>
        <v>#REF!</v>
      </c>
      <c r="N102" s="86"/>
      <c r="O102" s="80"/>
      <c r="P102" s="80"/>
      <c r="Q102" s="80"/>
      <c r="R102" s="80"/>
      <c r="S102" s="80"/>
      <c r="T102" s="80"/>
      <c r="U102" s="80"/>
      <c r="V102" s="80"/>
    </row>
    <row r="103" spans="1:22" ht="15.75" x14ac:dyDescent="0.25">
      <c r="A103" s="77"/>
      <c r="B103" s="82"/>
      <c r="C103" s="200" t="s">
        <v>221</v>
      </c>
      <c r="D103" s="82"/>
      <c r="E103" s="207" t="s">
        <v>203</v>
      </c>
      <c r="F103" s="226">
        <v>117</v>
      </c>
      <c r="G103" s="59"/>
      <c r="H103" s="83"/>
      <c r="I103" s="87"/>
      <c r="J103" s="88">
        <f>Achat18[[#This Row],[Prix total
  HD (HT)]]+Achat18[[#This Row],[Douane]]</f>
        <v>0</v>
      </c>
      <c r="K103" s="84"/>
      <c r="L103" s="85" t="e">
        <f>SUM(#REF!)</f>
        <v>#REF!</v>
      </c>
      <c r="N103" s="86"/>
      <c r="O103" s="80"/>
      <c r="P103" s="80"/>
      <c r="Q103" s="80"/>
      <c r="R103" s="80"/>
      <c r="S103" s="80"/>
      <c r="T103" s="80"/>
      <c r="U103" s="80"/>
      <c r="V103" s="80"/>
    </row>
    <row r="104" spans="1:22" ht="15.75" x14ac:dyDescent="0.25">
      <c r="A104" s="77"/>
      <c r="B104" s="82"/>
      <c r="C104" s="200" t="s">
        <v>222</v>
      </c>
      <c r="D104" s="82"/>
      <c r="E104" s="207" t="s">
        <v>205</v>
      </c>
      <c r="F104" s="226">
        <v>1200</v>
      </c>
      <c r="G104" s="59"/>
      <c r="H104" s="83"/>
      <c r="I104" s="87"/>
      <c r="J104" s="88">
        <f>Achat18[[#This Row],[Prix total
  HD (HT)]]+Achat18[[#This Row],[Douane]]</f>
        <v>0</v>
      </c>
      <c r="K104" s="84"/>
      <c r="L104" s="85" t="e">
        <f>SUM(#REF!)</f>
        <v>#REF!</v>
      </c>
      <c r="N104" s="86"/>
      <c r="O104" s="80"/>
      <c r="P104" s="80"/>
      <c r="Q104" s="80"/>
      <c r="R104" s="80"/>
      <c r="S104" s="80"/>
      <c r="T104" s="80"/>
      <c r="U104" s="80"/>
      <c r="V104" s="80"/>
    </row>
    <row r="105" spans="1:22" ht="15.75" x14ac:dyDescent="0.25">
      <c r="A105" s="77"/>
      <c r="B105" s="82"/>
      <c r="C105" s="200" t="s">
        <v>223</v>
      </c>
      <c r="D105" s="82"/>
      <c r="E105" s="207" t="s">
        <v>205</v>
      </c>
      <c r="F105" s="226">
        <v>5250</v>
      </c>
      <c r="G105" s="59"/>
      <c r="H105" s="83"/>
      <c r="I105" s="87"/>
      <c r="J105" s="88">
        <f>Achat18[[#This Row],[Prix total
  HD (HT)]]+Achat18[[#This Row],[Douane]]</f>
        <v>0</v>
      </c>
      <c r="K105" s="84"/>
      <c r="L105" s="85" t="e">
        <f>SUM(#REF!)</f>
        <v>#REF!</v>
      </c>
      <c r="N105" s="86"/>
      <c r="O105" s="80"/>
      <c r="P105" s="80"/>
      <c r="Q105" s="80"/>
      <c r="R105" s="80"/>
      <c r="S105" s="80"/>
      <c r="T105" s="80"/>
      <c r="U105" s="80"/>
      <c r="V105" s="80"/>
    </row>
    <row r="106" spans="1:22" ht="15.75" x14ac:dyDescent="0.25">
      <c r="A106" s="77"/>
      <c r="B106" s="82"/>
      <c r="C106" s="200" t="s">
        <v>224</v>
      </c>
      <c r="D106" s="82"/>
      <c r="E106" s="207" t="s">
        <v>203</v>
      </c>
      <c r="F106" s="226">
        <v>117</v>
      </c>
      <c r="G106" s="59"/>
      <c r="H106" s="83"/>
      <c r="I106" s="87"/>
      <c r="J106" s="88">
        <f>Achat18[[#This Row],[Prix total
  HD (HT)]]+Achat18[[#This Row],[Douane]]</f>
        <v>0</v>
      </c>
      <c r="K106" s="84"/>
      <c r="L106" s="85" t="e">
        <f>SUM(#REF!)</f>
        <v>#REF!</v>
      </c>
      <c r="N106" s="86"/>
      <c r="O106" s="80"/>
      <c r="P106" s="80"/>
      <c r="Q106" s="80"/>
      <c r="R106" s="80"/>
      <c r="S106" s="80"/>
      <c r="T106" s="80"/>
      <c r="U106" s="80"/>
      <c r="V106" s="80"/>
    </row>
    <row r="107" spans="1:22" ht="15.75" x14ac:dyDescent="0.25">
      <c r="A107" s="77"/>
      <c r="B107" s="82"/>
      <c r="C107" s="211" t="s">
        <v>264</v>
      </c>
      <c r="D107" s="82"/>
      <c r="E107" s="210"/>
      <c r="F107" s="231"/>
      <c r="G107" s="59"/>
      <c r="H107" s="83"/>
      <c r="I107" s="87"/>
      <c r="J107" s="88">
        <f>Achat18[[#This Row],[Prix total
  HD (HT)]]+Achat18[[#This Row],[Douane]]</f>
        <v>0</v>
      </c>
      <c r="K107" s="84"/>
      <c r="L107" s="85" t="e">
        <f>SUM(#REF!)</f>
        <v>#REF!</v>
      </c>
      <c r="N107" s="86"/>
      <c r="O107" s="80"/>
      <c r="P107" s="80"/>
      <c r="Q107" s="80"/>
      <c r="R107" s="80"/>
      <c r="S107" s="80"/>
      <c r="T107" s="80"/>
      <c r="U107" s="80"/>
      <c r="V107" s="80"/>
    </row>
    <row r="108" spans="1:22" ht="15.75" x14ac:dyDescent="0.25">
      <c r="A108" s="77"/>
      <c r="B108" s="82">
        <v>61</v>
      </c>
      <c r="C108" s="198" t="s">
        <v>228</v>
      </c>
      <c r="D108" s="82"/>
      <c r="E108" s="207" t="s">
        <v>205</v>
      </c>
      <c r="F108" s="224">
        <v>600</v>
      </c>
      <c r="G108" s="90"/>
      <c r="H108" s="83"/>
      <c r="I108" s="87"/>
      <c r="J108" s="88">
        <f>Achat18[[#This Row],[Prix total
  HD (HT)]]+Achat18[[#This Row],[Douane]]</f>
        <v>0</v>
      </c>
      <c r="K108" s="84" t="str">
        <f>IF(Achat18[[#This Row],[Prix total
Inc-Douane (1)]]=0, "",Achat18[[#This Row],[ACHAT ]]/Achat18[[#This Row],[Prix total
Inc-Douane (1)]])</f>
        <v/>
      </c>
      <c r="L108" s="85">
        <f>SUM(Achat18[[#This Row],[1er Verst]:[10e Verst]])</f>
        <v>0</v>
      </c>
      <c r="N108" s="86"/>
      <c r="O108" s="80"/>
      <c r="P108" s="80"/>
      <c r="Q108" s="80"/>
      <c r="R108" s="80"/>
      <c r="S108" s="80"/>
      <c r="T108" s="80"/>
      <c r="U108" s="80"/>
      <c r="V108" s="80"/>
    </row>
    <row r="109" spans="1:22" ht="15.75" x14ac:dyDescent="0.25">
      <c r="A109" s="77"/>
      <c r="B109" s="82"/>
      <c r="C109" s="199" t="s">
        <v>230</v>
      </c>
      <c r="D109" s="82"/>
      <c r="E109" s="208" t="s">
        <v>205</v>
      </c>
      <c r="F109" s="225">
        <v>27</v>
      </c>
      <c r="G109" s="90"/>
      <c r="H109" s="83"/>
      <c r="I109" s="87"/>
      <c r="J109" s="88">
        <f>Achat18[[#This Row],[Prix total
  HD (HT)]]+Achat18[[#This Row],[Douane]]</f>
        <v>0</v>
      </c>
      <c r="K109" s="84" t="str">
        <f>IF(Achat18[[#This Row],[Prix total
Inc-Douane (1)]]=0, "",Achat18[[#This Row],[ACHAT ]]/Achat18[[#This Row],[Prix total
Inc-Douane (1)]])</f>
        <v/>
      </c>
      <c r="L109" s="85">
        <f>SUM(Achat18[[#This Row],[1er Verst]:[10e Verst]])</f>
        <v>0</v>
      </c>
      <c r="N109" s="86"/>
      <c r="O109" s="80"/>
      <c r="P109" s="80"/>
      <c r="Q109" s="80"/>
      <c r="R109" s="80"/>
      <c r="S109" s="80"/>
      <c r="T109" s="80"/>
      <c r="U109" s="80"/>
      <c r="V109" s="80"/>
    </row>
    <row r="110" spans="1:22" ht="15.75" x14ac:dyDescent="0.25">
      <c r="A110" s="77"/>
      <c r="B110" s="82"/>
      <c r="C110" s="200" t="s">
        <v>231</v>
      </c>
      <c r="D110" s="82"/>
      <c r="E110" s="207" t="s">
        <v>205</v>
      </c>
      <c r="F110" s="224">
        <v>6</v>
      </c>
      <c r="G110" s="90"/>
      <c r="H110" s="83"/>
      <c r="I110" s="87"/>
      <c r="J110" s="88"/>
      <c r="K110" s="84" t="str">
        <f>IF(Achat18[[#This Row],[Prix total
Inc-Douane (1)]]=0, "",Achat18[[#This Row],[ACHAT ]]/Achat18[[#This Row],[Prix total
Inc-Douane (1)]])</f>
        <v/>
      </c>
      <c r="L110" s="91"/>
      <c r="N110" s="86"/>
      <c r="O110" s="80"/>
      <c r="P110" s="80"/>
      <c r="Q110" s="80"/>
      <c r="R110" s="80"/>
      <c r="S110" s="80"/>
      <c r="T110" s="80"/>
      <c r="U110" s="80"/>
      <c r="V110" s="80"/>
    </row>
    <row r="111" spans="1:22" ht="15.75" x14ac:dyDescent="0.25">
      <c r="B111" s="82"/>
      <c r="C111" s="200" t="s">
        <v>232</v>
      </c>
      <c r="D111" s="82"/>
      <c r="E111" s="207" t="s">
        <v>203</v>
      </c>
      <c r="F111" s="224">
        <v>3</v>
      </c>
      <c r="G111" s="89">
        <f t="shared" ref="G111:G139" si="0">$A$3*A111</f>
        <v>0</v>
      </c>
      <c r="H111" s="83">
        <f>Achat18[[#This Row],[Prix unitaire (HT)]]*Achat18[[#This Row],[Qté]]</f>
        <v>0</v>
      </c>
      <c r="I111" s="67"/>
      <c r="J111" s="88">
        <f>Achat18[[#This Row],[Prix total
  HD (HT)]]+Achat18[[#This Row],[Douane]]</f>
        <v>0</v>
      </c>
      <c r="K111" s="213"/>
      <c r="L111" s="91" t="e">
        <f>SUM(#REF!)</f>
        <v>#REF!</v>
      </c>
      <c r="N111" s="86"/>
      <c r="O111" s="80"/>
      <c r="P111" s="214"/>
      <c r="Q111" s="214"/>
      <c r="R111" s="214"/>
      <c r="S111" s="214"/>
      <c r="T111" s="214"/>
      <c r="U111" s="214"/>
      <c r="V111" s="214"/>
    </row>
    <row r="112" spans="1:22" ht="15.75" x14ac:dyDescent="0.25">
      <c r="B112" s="82"/>
      <c r="C112" s="200" t="s">
        <v>233</v>
      </c>
      <c r="D112" s="82"/>
      <c r="E112" s="207" t="s">
        <v>203</v>
      </c>
      <c r="F112" s="224">
        <v>3</v>
      </c>
      <c r="G112" s="89">
        <f t="shared" si="0"/>
        <v>0</v>
      </c>
      <c r="H112" s="83">
        <f>Achat18[[#This Row],[Prix unitaire (HT)]]*Achat18[[#This Row],[Qté]]</f>
        <v>0</v>
      </c>
      <c r="I112" s="67"/>
      <c r="J112" s="88">
        <f>Achat18[[#This Row],[Prix total
  HD (HT)]]+Achat18[[#This Row],[Douane]]</f>
        <v>0</v>
      </c>
      <c r="K112" s="213"/>
      <c r="L112" s="91" t="e">
        <f>SUM(#REF!)</f>
        <v>#REF!</v>
      </c>
      <c r="N112" s="86"/>
      <c r="O112" s="80"/>
      <c r="P112" s="214"/>
      <c r="Q112" s="214"/>
      <c r="R112" s="214"/>
      <c r="S112" s="214"/>
      <c r="T112" s="214"/>
      <c r="U112" s="214"/>
      <c r="V112" s="214"/>
    </row>
    <row r="113" spans="2:22" ht="15.75" x14ac:dyDescent="0.25">
      <c r="B113" s="82"/>
      <c r="C113" s="200" t="s">
        <v>234</v>
      </c>
      <c r="D113" s="82"/>
      <c r="E113" s="207"/>
      <c r="F113" s="224">
        <v>18</v>
      </c>
      <c r="G113" s="89">
        <f t="shared" si="0"/>
        <v>0</v>
      </c>
      <c r="H113" s="83">
        <f>Achat18[[#This Row],[Prix unitaire (HT)]]*Achat18[[#This Row],[Qté]]</f>
        <v>0</v>
      </c>
      <c r="I113" s="67"/>
      <c r="J113" s="88">
        <f>Achat18[[#This Row],[Prix total
  HD (HT)]]+Achat18[[#This Row],[Douane]]</f>
        <v>0</v>
      </c>
      <c r="K113" s="213"/>
      <c r="L113" s="91" t="e">
        <f>SUM(#REF!)</f>
        <v>#REF!</v>
      </c>
      <c r="N113" s="86"/>
      <c r="O113" s="80"/>
      <c r="P113" s="214"/>
      <c r="Q113" s="214"/>
      <c r="R113" s="214"/>
      <c r="S113" s="214"/>
      <c r="T113" s="214"/>
      <c r="U113" s="214"/>
      <c r="V113" s="214"/>
    </row>
    <row r="114" spans="2:22" ht="15.75" x14ac:dyDescent="0.25">
      <c r="B114" s="82"/>
      <c r="C114" s="200" t="s">
        <v>235</v>
      </c>
      <c r="D114" s="82"/>
      <c r="E114" s="207"/>
      <c r="F114" s="224">
        <v>6</v>
      </c>
      <c r="G114" s="89">
        <f t="shared" si="0"/>
        <v>0</v>
      </c>
      <c r="H114" s="83">
        <f>Achat18[[#This Row],[Prix unitaire (HT)]]*Achat18[[#This Row],[Qté]]</f>
        <v>0</v>
      </c>
      <c r="I114" s="67"/>
      <c r="J114" s="88">
        <f>Achat18[[#This Row],[Prix total
  HD (HT)]]+Achat18[[#This Row],[Douane]]</f>
        <v>0</v>
      </c>
      <c r="K114" s="213"/>
      <c r="L114" s="91" t="e">
        <f>SUM(#REF!)</f>
        <v>#REF!</v>
      </c>
      <c r="N114" s="86"/>
      <c r="O114" s="80"/>
      <c r="P114" s="214"/>
      <c r="Q114" s="214"/>
      <c r="R114" s="214"/>
      <c r="S114" s="214"/>
      <c r="T114" s="214"/>
      <c r="U114" s="214"/>
      <c r="V114" s="214"/>
    </row>
    <row r="115" spans="2:22" ht="15.75" x14ac:dyDescent="0.25">
      <c r="B115" s="82"/>
      <c r="C115" s="200" t="s">
        <v>236</v>
      </c>
      <c r="D115" s="82"/>
      <c r="E115" s="207" t="s">
        <v>203</v>
      </c>
      <c r="F115" s="224">
        <v>6</v>
      </c>
      <c r="G115" s="89">
        <f t="shared" si="0"/>
        <v>0</v>
      </c>
      <c r="H115" s="83">
        <f>Achat18[[#This Row],[Prix unitaire (HT)]]*Achat18[[#This Row],[Qté]]</f>
        <v>0</v>
      </c>
      <c r="I115" s="67"/>
      <c r="J115" s="88">
        <f>Achat18[[#This Row],[Prix total
  HD (HT)]]+Achat18[[#This Row],[Douane]]</f>
        <v>0</v>
      </c>
      <c r="K115" s="213"/>
      <c r="L115" s="91" t="e">
        <f>SUM(#REF!)</f>
        <v>#REF!</v>
      </c>
      <c r="N115" s="86"/>
      <c r="O115" s="80"/>
      <c r="P115" s="214"/>
      <c r="Q115" s="214"/>
      <c r="R115" s="214"/>
      <c r="S115" s="214"/>
      <c r="T115" s="214"/>
      <c r="U115" s="214"/>
      <c r="V115" s="214"/>
    </row>
    <row r="116" spans="2:22" ht="15.75" x14ac:dyDescent="0.25">
      <c r="B116" s="82"/>
      <c r="C116" s="200" t="s">
        <v>237</v>
      </c>
      <c r="D116" s="82"/>
      <c r="E116" s="207" t="s">
        <v>203</v>
      </c>
      <c r="F116" s="224">
        <v>18</v>
      </c>
      <c r="G116" s="89">
        <f t="shared" si="0"/>
        <v>0</v>
      </c>
      <c r="H116" s="83">
        <f>Achat18[[#This Row],[Prix unitaire (HT)]]*Achat18[[#This Row],[Qté]]</f>
        <v>0</v>
      </c>
      <c r="I116" s="67"/>
      <c r="J116" s="88">
        <f>Achat18[[#This Row],[Prix total
  HD (HT)]]+Achat18[[#This Row],[Douane]]</f>
        <v>0</v>
      </c>
      <c r="K116" s="213"/>
      <c r="L116" s="91" t="e">
        <f>SUM(#REF!)</f>
        <v>#REF!</v>
      </c>
      <c r="N116" s="86"/>
      <c r="O116" s="80"/>
      <c r="P116" s="214"/>
      <c r="Q116" s="214"/>
      <c r="R116" s="214"/>
      <c r="S116" s="214"/>
      <c r="T116" s="214"/>
      <c r="U116" s="214"/>
      <c r="V116" s="214"/>
    </row>
    <row r="117" spans="2:22" ht="15.75" x14ac:dyDescent="0.25">
      <c r="B117" s="82"/>
      <c r="C117" s="200" t="s">
        <v>238</v>
      </c>
      <c r="D117" s="82"/>
      <c r="E117" s="207" t="s">
        <v>203</v>
      </c>
      <c r="F117" s="226">
        <v>6</v>
      </c>
      <c r="G117" s="89">
        <f t="shared" si="0"/>
        <v>0</v>
      </c>
      <c r="H117" s="83">
        <f>Achat18[[#This Row],[Prix unitaire (HT)]]*Achat18[[#This Row],[Qté]]</f>
        <v>0</v>
      </c>
      <c r="I117" s="67"/>
      <c r="J117" s="88">
        <f>Achat18[[#This Row],[Prix total
  HD (HT)]]+Achat18[[#This Row],[Douane]]</f>
        <v>0</v>
      </c>
      <c r="K117" s="213"/>
      <c r="L117" s="91" t="e">
        <f>SUM(#REF!)</f>
        <v>#REF!</v>
      </c>
      <c r="N117" s="86"/>
      <c r="O117" s="80"/>
      <c r="P117" s="214"/>
      <c r="Q117" s="214"/>
      <c r="R117" s="214"/>
      <c r="S117" s="214"/>
      <c r="T117" s="214"/>
      <c r="U117" s="214"/>
      <c r="V117" s="214"/>
    </row>
    <row r="118" spans="2:22" ht="15.75" x14ac:dyDescent="0.25">
      <c r="B118" s="82"/>
      <c r="C118" s="200" t="s">
        <v>239</v>
      </c>
      <c r="D118" s="82"/>
      <c r="E118" s="207" t="s">
        <v>203</v>
      </c>
      <c r="F118" s="226">
        <v>6</v>
      </c>
      <c r="G118" s="89">
        <f t="shared" si="0"/>
        <v>0</v>
      </c>
      <c r="H118" s="83">
        <f>Achat18[[#This Row],[Prix unitaire (HT)]]*Achat18[[#This Row],[Qté]]</f>
        <v>0</v>
      </c>
      <c r="I118" s="67"/>
      <c r="J118" s="88">
        <f>Achat18[[#This Row],[Prix total
  HD (HT)]]+Achat18[[#This Row],[Douane]]</f>
        <v>0</v>
      </c>
      <c r="K118" s="213"/>
      <c r="L118" s="91" t="e">
        <f>SUM(#REF!)</f>
        <v>#REF!</v>
      </c>
      <c r="N118" s="86"/>
      <c r="O118" s="80"/>
      <c r="P118" s="214"/>
      <c r="Q118" s="214"/>
      <c r="R118" s="214"/>
      <c r="S118" s="214"/>
      <c r="T118" s="214"/>
      <c r="U118" s="214"/>
      <c r="V118" s="214"/>
    </row>
    <row r="119" spans="2:22" ht="15.75" x14ac:dyDescent="0.25">
      <c r="B119" s="82"/>
      <c r="C119" s="200" t="s">
        <v>240</v>
      </c>
      <c r="D119" s="82"/>
      <c r="E119" s="207" t="s">
        <v>203</v>
      </c>
      <c r="F119" s="226">
        <v>6</v>
      </c>
      <c r="G119" s="89">
        <f t="shared" si="0"/>
        <v>0</v>
      </c>
      <c r="H119" s="83">
        <f>Achat18[[#This Row],[Prix unitaire (HT)]]*Achat18[[#This Row],[Qté]]</f>
        <v>0</v>
      </c>
      <c r="I119" s="67"/>
      <c r="J119" s="88">
        <f>Achat18[[#This Row],[Prix total
  HD (HT)]]+Achat18[[#This Row],[Douane]]</f>
        <v>0</v>
      </c>
      <c r="K119" s="213"/>
      <c r="L119" s="91" t="e">
        <f>SUM(#REF!)</f>
        <v>#REF!</v>
      </c>
      <c r="N119" s="86"/>
      <c r="O119" s="80"/>
      <c r="P119" s="214"/>
      <c r="Q119" s="214"/>
      <c r="R119" s="214"/>
      <c r="S119" s="214"/>
      <c r="T119" s="214"/>
      <c r="U119" s="214"/>
      <c r="V119" s="214"/>
    </row>
    <row r="120" spans="2:22" ht="15.75" x14ac:dyDescent="0.25">
      <c r="B120" s="82"/>
      <c r="C120" s="200" t="s">
        <v>241</v>
      </c>
      <c r="D120" s="82"/>
      <c r="E120" s="207" t="s">
        <v>203</v>
      </c>
      <c r="F120" s="226">
        <v>6</v>
      </c>
      <c r="G120" s="89">
        <f t="shared" si="0"/>
        <v>0</v>
      </c>
      <c r="H120" s="83">
        <f>Achat18[[#This Row],[Prix unitaire (HT)]]*Achat18[[#This Row],[Qté]]</f>
        <v>0</v>
      </c>
      <c r="I120" s="67"/>
      <c r="J120" s="88">
        <f>Achat18[[#This Row],[Prix total
  HD (HT)]]+Achat18[[#This Row],[Douane]]</f>
        <v>0</v>
      </c>
      <c r="K120" s="213"/>
      <c r="L120" s="91" t="e">
        <f>SUM(#REF!)</f>
        <v>#REF!</v>
      </c>
      <c r="N120" s="86"/>
      <c r="O120" s="80"/>
      <c r="P120" s="214"/>
      <c r="Q120" s="214"/>
      <c r="R120" s="214"/>
      <c r="S120" s="214"/>
      <c r="T120" s="214"/>
      <c r="U120" s="214"/>
      <c r="V120" s="214"/>
    </row>
    <row r="121" spans="2:22" ht="15.75" x14ac:dyDescent="0.25">
      <c r="B121" s="82"/>
      <c r="C121" s="204" t="s">
        <v>242</v>
      </c>
      <c r="D121" s="82"/>
      <c r="E121" s="209" t="s">
        <v>205</v>
      </c>
      <c r="F121" s="224">
        <v>200</v>
      </c>
      <c r="G121" s="89">
        <f t="shared" si="0"/>
        <v>0</v>
      </c>
      <c r="H121" s="83">
        <f>Achat18[[#This Row],[Prix unitaire (HT)]]*Achat18[[#This Row],[Qté]]</f>
        <v>0</v>
      </c>
      <c r="I121" s="67"/>
      <c r="J121" s="88">
        <f>Achat18[[#This Row],[Prix total
  HD (HT)]]+Achat18[[#This Row],[Douane]]</f>
        <v>0</v>
      </c>
      <c r="K121" s="213"/>
      <c r="L121" s="91" t="e">
        <f>SUM(#REF!)</f>
        <v>#REF!</v>
      </c>
      <c r="N121" s="86"/>
      <c r="O121" s="80"/>
      <c r="P121" s="214"/>
      <c r="Q121" s="214"/>
      <c r="R121" s="214"/>
      <c r="S121" s="214"/>
      <c r="T121" s="214"/>
      <c r="U121" s="214"/>
      <c r="V121" s="214"/>
    </row>
    <row r="122" spans="2:22" ht="15.75" x14ac:dyDescent="0.25">
      <c r="B122" s="82"/>
      <c r="C122" s="204" t="s">
        <v>243</v>
      </c>
      <c r="D122" s="82"/>
      <c r="E122" s="209" t="s">
        <v>205</v>
      </c>
      <c r="F122" s="224">
        <v>80</v>
      </c>
      <c r="G122" s="89">
        <f t="shared" si="0"/>
        <v>0</v>
      </c>
      <c r="H122" s="83">
        <f>Achat18[[#This Row],[Prix unitaire (HT)]]*Achat18[[#This Row],[Qté]]</f>
        <v>0</v>
      </c>
      <c r="I122" s="67"/>
      <c r="J122" s="88">
        <f>Achat18[[#This Row],[Prix total
  HD (HT)]]+Achat18[[#This Row],[Douane]]</f>
        <v>0</v>
      </c>
      <c r="K122" s="213"/>
      <c r="L122" s="91" t="e">
        <f>SUM(#REF!)</f>
        <v>#REF!</v>
      </c>
      <c r="N122" s="86"/>
      <c r="O122" s="80"/>
      <c r="P122" s="214"/>
      <c r="Q122" s="214"/>
      <c r="R122" s="214"/>
      <c r="S122" s="214"/>
      <c r="T122" s="214"/>
      <c r="U122" s="214"/>
      <c r="V122" s="214"/>
    </row>
    <row r="123" spans="2:22" ht="15.75" x14ac:dyDescent="0.25">
      <c r="B123" s="82"/>
      <c r="C123" s="204" t="s">
        <v>244</v>
      </c>
      <c r="D123" s="82"/>
      <c r="E123" s="209" t="s">
        <v>205</v>
      </c>
      <c r="F123" s="224">
        <v>150</v>
      </c>
      <c r="G123" s="89">
        <f t="shared" si="0"/>
        <v>0</v>
      </c>
      <c r="H123" s="83">
        <f>Achat18[[#This Row],[Prix unitaire (HT)]]*Achat18[[#This Row],[Qté]]</f>
        <v>0</v>
      </c>
      <c r="I123" s="67"/>
      <c r="J123" s="88">
        <f>Achat18[[#This Row],[Prix total
  HD (HT)]]+Achat18[[#This Row],[Douane]]</f>
        <v>0</v>
      </c>
      <c r="K123" s="213"/>
      <c r="L123" s="91" t="e">
        <f>SUM(#REF!)</f>
        <v>#REF!</v>
      </c>
      <c r="N123" s="86"/>
      <c r="O123" s="80"/>
      <c r="P123" s="214"/>
      <c r="Q123" s="214"/>
      <c r="R123" s="214"/>
      <c r="S123" s="214"/>
      <c r="T123" s="214"/>
      <c r="U123" s="214"/>
      <c r="V123" s="214"/>
    </row>
    <row r="124" spans="2:22" ht="15.75" x14ac:dyDescent="0.25">
      <c r="B124" s="82"/>
      <c r="C124" s="204" t="s">
        <v>245</v>
      </c>
      <c r="D124" s="82"/>
      <c r="E124" s="209" t="s">
        <v>205</v>
      </c>
      <c r="F124" s="224">
        <v>100</v>
      </c>
      <c r="G124" s="89">
        <f t="shared" si="0"/>
        <v>0</v>
      </c>
      <c r="H124" s="83">
        <f>Achat18[[#This Row],[Prix unitaire (HT)]]*Achat18[[#This Row],[Qté]]</f>
        <v>0</v>
      </c>
      <c r="I124" s="67"/>
      <c r="J124" s="88">
        <f>Achat18[[#This Row],[Prix total
  HD (HT)]]+Achat18[[#This Row],[Douane]]</f>
        <v>0</v>
      </c>
      <c r="K124" s="213"/>
      <c r="L124" s="91" t="e">
        <f>SUM(#REF!)</f>
        <v>#REF!</v>
      </c>
      <c r="N124" s="86"/>
      <c r="O124" s="80"/>
      <c r="P124" s="214"/>
      <c r="Q124" s="214"/>
      <c r="R124" s="214"/>
      <c r="S124" s="214"/>
      <c r="T124" s="214"/>
      <c r="U124" s="214"/>
      <c r="V124" s="214"/>
    </row>
    <row r="125" spans="2:22" ht="15.75" x14ac:dyDescent="0.25">
      <c r="B125" s="82"/>
      <c r="C125" s="204" t="s">
        <v>246</v>
      </c>
      <c r="D125" s="82"/>
      <c r="E125" s="209" t="s">
        <v>205</v>
      </c>
      <c r="F125" s="224">
        <v>100</v>
      </c>
      <c r="G125" s="89">
        <f t="shared" si="0"/>
        <v>0</v>
      </c>
      <c r="H125" s="83">
        <f>Achat18[[#This Row],[Prix unitaire (HT)]]*Achat18[[#This Row],[Qté]]</f>
        <v>0</v>
      </c>
      <c r="I125" s="67"/>
      <c r="J125" s="88">
        <f>Achat18[[#This Row],[Prix total
  HD (HT)]]+Achat18[[#This Row],[Douane]]</f>
        <v>0</v>
      </c>
      <c r="K125" s="213"/>
      <c r="L125" s="91" t="e">
        <f>SUM(#REF!)</f>
        <v>#REF!</v>
      </c>
      <c r="N125" s="86"/>
      <c r="O125" s="80"/>
      <c r="P125" s="214"/>
      <c r="Q125" s="214"/>
      <c r="R125" s="214"/>
      <c r="S125" s="214"/>
      <c r="T125" s="214"/>
      <c r="U125" s="214"/>
      <c r="V125" s="214"/>
    </row>
    <row r="126" spans="2:22" ht="15.75" x14ac:dyDescent="0.25">
      <c r="B126" s="82"/>
      <c r="C126" s="204" t="s">
        <v>247</v>
      </c>
      <c r="D126" s="82"/>
      <c r="E126" s="209" t="s">
        <v>205</v>
      </c>
      <c r="F126" s="224">
        <v>100</v>
      </c>
      <c r="G126" s="89">
        <f t="shared" si="0"/>
        <v>0</v>
      </c>
      <c r="H126" s="83">
        <f>Achat18[[#This Row],[Prix unitaire (HT)]]*Achat18[[#This Row],[Qté]]</f>
        <v>0</v>
      </c>
      <c r="I126" s="67"/>
      <c r="J126" s="88">
        <f>Achat18[[#This Row],[Prix total
  HD (HT)]]+Achat18[[#This Row],[Douane]]</f>
        <v>0</v>
      </c>
      <c r="K126" s="213"/>
      <c r="L126" s="91" t="e">
        <f>SUM(#REF!)</f>
        <v>#REF!</v>
      </c>
      <c r="N126" s="86"/>
      <c r="O126" s="80"/>
      <c r="P126" s="214"/>
      <c r="Q126" s="214"/>
      <c r="R126" s="214"/>
      <c r="S126" s="214"/>
      <c r="T126" s="214"/>
      <c r="U126" s="214"/>
      <c r="V126" s="214"/>
    </row>
    <row r="127" spans="2:22" ht="15.75" x14ac:dyDescent="0.25">
      <c r="B127" s="82"/>
      <c r="C127" s="204" t="s">
        <v>248</v>
      </c>
      <c r="D127" s="82"/>
      <c r="E127" s="209" t="s">
        <v>205</v>
      </c>
      <c r="F127" s="224">
        <v>100</v>
      </c>
      <c r="G127" s="89">
        <f t="shared" si="0"/>
        <v>0</v>
      </c>
      <c r="H127" s="83">
        <f>Achat18[[#This Row],[Prix unitaire (HT)]]*Achat18[[#This Row],[Qté]]</f>
        <v>0</v>
      </c>
      <c r="I127" s="67"/>
      <c r="J127" s="88">
        <f>Achat18[[#This Row],[Prix total
  HD (HT)]]+Achat18[[#This Row],[Douane]]</f>
        <v>0</v>
      </c>
      <c r="K127" s="213"/>
      <c r="L127" s="91" t="e">
        <f>SUM(#REF!)</f>
        <v>#REF!</v>
      </c>
      <c r="N127" s="86"/>
      <c r="O127" s="80"/>
      <c r="P127" s="214"/>
      <c r="Q127" s="214"/>
      <c r="R127" s="214"/>
      <c r="S127" s="214"/>
      <c r="T127" s="214"/>
      <c r="U127" s="214"/>
      <c r="V127" s="214"/>
    </row>
    <row r="128" spans="2:22" ht="15.75" x14ac:dyDescent="0.25">
      <c r="B128" s="82"/>
      <c r="C128" s="204" t="s">
        <v>249</v>
      </c>
      <c r="D128" s="82"/>
      <c r="E128" s="209" t="s">
        <v>203</v>
      </c>
      <c r="F128" s="224">
        <v>200</v>
      </c>
      <c r="G128" s="89">
        <f t="shared" si="0"/>
        <v>0</v>
      </c>
      <c r="H128" s="83">
        <f>Achat18[[#This Row],[Prix unitaire (HT)]]*Achat18[[#This Row],[Qté]]</f>
        <v>0</v>
      </c>
      <c r="I128" s="67"/>
      <c r="J128" s="88">
        <f>Achat18[[#This Row],[Prix total
  HD (HT)]]+Achat18[[#This Row],[Douane]]</f>
        <v>0</v>
      </c>
      <c r="K128" s="213"/>
      <c r="L128" s="91" t="e">
        <f>SUM(#REF!)</f>
        <v>#REF!</v>
      </c>
      <c r="N128" s="86"/>
      <c r="O128" s="80"/>
      <c r="P128" s="214"/>
      <c r="Q128" s="214"/>
      <c r="R128" s="214"/>
      <c r="S128" s="214"/>
      <c r="T128" s="214"/>
      <c r="U128" s="214"/>
      <c r="V128" s="214"/>
    </row>
    <row r="129" spans="2:22" ht="15.75" x14ac:dyDescent="0.25">
      <c r="B129" s="82"/>
      <c r="C129" s="204" t="s">
        <v>250</v>
      </c>
      <c r="D129" s="82"/>
      <c r="E129" s="209" t="s">
        <v>203</v>
      </c>
      <c r="F129" s="224">
        <v>200</v>
      </c>
      <c r="G129" s="89">
        <f t="shared" si="0"/>
        <v>0</v>
      </c>
      <c r="H129" s="83">
        <f>Achat18[[#This Row],[Prix unitaire (HT)]]*Achat18[[#This Row],[Qté]]</f>
        <v>0</v>
      </c>
      <c r="I129" s="67"/>
      <c r="J129" s="88">
        <f>Achat18[[#This Row],[Prix total
  HD (HT)]]+Achat18[[#This Row],[Douane]]</f>
        <v>0</v>
      </c>
      <c r="K129" s="213"/>
      <c r="L129" s="91" t="e">
        <f>SUM(#REF!)</f>
        <v>#REF!</v>
      </c>
      <c r="N129" s="86"/>
      <c r="O129" s="80"/>
      <c r="P129" s="214"/>
      <c r="Q129" s="214"/>
      <c r="R129" s="214"/>
      <c r="S129" s="214"/>
      <c r="T129" s="214"/>
      <c r="U129" s="214"/>
      <c r="V129" s="214"/>
    </row>
    <row r="130" spans="2:22" ht="15.75" x14ac:dyDescent="0.25">
      <c r="B130" s="82"/>
      <c r="C130" s="204" t="s">
        <v>251</v>
      </c>
      <c r="D130" s="82"/>
      <c r="E130" s="209" t="s">
        <v>203</v>
      </c>
      <c r="F130" s="224">
        <v>100</v>
      </c>
      <c r="G130" s="89">
        <f t="shared" si="0"/>
        <v>0</v>
      </c>
      <c r="H130" s="83">
        <f>Achat18[[#This Row],[Prix unitaire (HT)]]*Achat18[[#This Row],[Qté]]</f>
        <v>0</v>
      </c>
      <c r="I130" s="67"/>
      <c r="J130" s="88">
        <f>Achat18[[#This Row],[Prix total
  HD (HT)]]+Achat18[[#This Row],[Douane]]</f>
        <v>0</v>
      </c>
      <c r="K130" s="213"/>
      <c r="L130" s="91" t="e">
        <f>SUM(#REF!)</f>
        <v>#REF!</v>
      </c>
      <c r="N130" s="86"/>
      <c r="O130" s="80"/>
      <c r="P130" s="214"/>
      <c r="Q130" s="214"/>
      <c r="R130" s="214"/>
      <c r="S130" s="214"/>
      <c r="T130" s="214"/>
      <c r="U130" s="214"/>
      <c r="V130" s="214"/>
    </row>
    <row r="131" spans="2:22" ht="15.75" x14ac:dyDescent="0.25">
      <c r="B131" s="82"/>
      <c r="C131" s="204" t="s">
        <v>252</v>
      </c>
      <c r="D131" s="82"/>
      <c r="E131" s="209" t="s">
        <v>203</v>
      </c>
      <c r="F131" s="224">
        <v>100</v>
      </c>
      <c r="G131" s="89">
        <f t="shared" si="0"/>
        <v>0</v>
      </c>
      <c r="H131" s="83">
        <f>Achat18[[#This Row],[Prix unitaire (HT)]]*Achat18[[#This Row],[Qté]]</f>
        <v>0</v>
      </c>
      <c r="I131" s="67"/>
      <c r="J131" s="88">
        <f>Achat18[[#This Row],[Prix total
  HD (HT)]]+Achat18[[#This Row],[Douane]]</f>
        <v>0</v>
      </c>
      <c r="K131" s="213"/>
      <c r="L131" s="91" t="e">
        <f>SUM(#REF!)</f>
        <v>#REF!</v>
      </c>
      <c r="N131" s="86"/>
      <c r="O131" s="80"/>
      <c r="P131" s="214"/>
      <c r="Q131" s="214"/>
      <c r="R131" s="214"/>
      <c r="S131" s="214"/>
      <c r="T131" s="214"/>
      <c r="U131" s="214"/>
      <c r="V131" s="214"/>
    </row>
    <row r="132" spans="2:22" ht="15.75" x14ac:dyDescent="0.25">
      <c r="B132" s="82"/>
      <c r="C132" s="204" t="s">
        <v>253</v>
      </c>
      <c r="D132" s="82"/>
      <c r="E132" s="209" t="s">
        <v>203</v>
      </c>
      <c r="F132" s="224">
        <v>10</v>
      </c>
      <c r="G132" s="89">
        <f t="shared" si="0"/>
        <v>0</v>
      </c>
      <c r="H132" s="83">
        <f>Achat18[[#This Row],[Prix unitaire (HT)]]*Achat18[[#This Row],[Qté]]</f>
        <v>0</v>
      </c>
      <c r="I132" s="67"/>
      <c r="J132" s="88">
        <f>Achat18[[#This Row],[Prix total
  HD (HT)]]+Achat18[[#This Row],[Douane]]</f>
        <v>0</v>
      </c>
      <c r="K132" s="213"/>
      <c r="L132" s="91" t="e">
        <f>SUM(#REF!)</f>
        <v>#REF!</v>
      </c>
      <c r="N132" s="86"/>
      <c r="O132" s="80"/>
      <c r="P132" s="214"/>
      <c r="Q132" s="214"/>
      <c r="R132" s="214"/>
      <c r="S132" s="214"/>
      <c r="T132" s="214"/>
      <c r="U132" s="214"/>
      <c r="V132" s="214"/>
    </row>
    <row r="133" spans="2:22" ht="15.75" x14ac:dyDescent="0.25">
      <c r="B133" s="82"/>
      <c r="C133" s="204" t="s">
        <v>254</v>
      </c>
      <c r="D133" s="82"/>
      <c r="E133" s="209" t="s">
        <v>203</v>
      </c>
      <c r="F133" s="224">
        <v>100</v>
      </c>
      <c r="G133" s="89">
        <f t="shared" si="0"/>
        <v>0</v>
      </c>
      <c r="H133" s="83">
        <f>Achat18[[#This Row],[Prix unitaire (HT)]]*Achat18[[#This Row],[Qté]]</f>
        <v>0</v>
      </c>
      <c r="I133" s="67"/>
      <c r="J133" s="88">
        <f>Achat18[[#This Row],[Prix total
  HD (HT)]]+Achat18[[#This Row],[Douane]]</f>
        <v>0</v>
      </c>
      <c r="K133" s="213"/>
      <c r="L133" s="91" t="e">
        <f>SUM(#REF!)</f>
        <v>#REF!</v>
      </c>
      <c r="N133" s="86"/>
      <c r="O133" s="80"/>
      <c r="P133" s="214"/>
      <c r="Q133" s="214"/>
      <c r="R133" s="214"/>
      <c r="S133" s="214"/>
      <c r="T133" s="214"/>
      <c r="U133" s="214"/>
      <c r="V133" s="214"/>
    </row>
    <row r="134" spans="2:22" ht="15.75" x14ac:dyDescent="0.25">
      <c r="B134" s="82"/>
      <c r="C134" s="204" t="s">
        <v>255</v>
      </c>
      <c r="D134" s="82"/>
      <c r="E134" s="209" t="s">
        <v>203</v>
      </c>
      <c r="F134" s="224">
        <v>3</v>
      </c>
      <c r="G134" s="89">
        <f t="shared" si="0"/>
        <v>0</v>
      </c>
      <c r="H134" s="83">
        <f>Achat18[[#This Row],[Prix unitaire (HT)]]*Achat18[[#This Row],[Qté]]</f>
        <v>0</v>
      </c>
      <c r="I134" s="67"/>
      <c r="J134" s="88">
        <f>Achat18[[#This Row],[Prix total
  HD (HT)]]+Achat18[[#This Row],[Douane]]</f>
        <v>0</v>
      </c>
      <c r="K134" s="213"/>
      <c r="L134" s="91" t="e">
        <f>SUM(#REF!)</f>
        <v>#REF!</v>
      </c>
      <c r="N134" s="86"/>
      <c r="O134" s="80"/>
      <c r="P134" s="214"/>
      <c r="Q134" s="214"/>
      <c r="R134" s="214"/>
      <c r="S134" s="214"/>
      <c r="T134" s="214"/>
      <c r="U134" s="214"/>
      <c r="V134" s="214"/>
    </row>
    <row r="135" spans="2:22" ht="15.75" x14ac:dyDescent="0.25">
      <c r="B135" s="82"/>
      <c r="C135" s="205" t="s">
        <v>256</v>
      </c>
      <c r="D135" s="82"/>
      <c r="E135" s="209" t="s">
        <v>257</v>
      </c>
      <c r="F135" s="228">
        <v>2</v>
      </c>
      <c r="G135" s="89">
        <f t="shared" si="0"/>
        <v>0</v>
      </c>
      <c r="H135" s="83">
        <f>Achat18[[#This Row],[Prix unitaire (HT)]]*Achat18[[#This Row],[Qté]]</f>
        <v>0</v>
      </c>
      <c r="I135" s="67"/>
      <c r="J135" s="88">
        <f>Achat18[[#This Row],[Prix total
  HD (HT)]]+Achat18[[#This Row],[Douane]]</f>
        <v>0</v>
      </c>
      <c r="K135" s="213"/>
      <c r="L135" s="91" t="e">
        <f>SUM(#REF!)</f>
        <v>#REF!</v>
      </c>
      <c r="N135" s="86"/>
      <c r="O135" s="80"/>
      <c r="P135" s="214"/>
      <c r="Q135" s="214"/>
      <c r="R135" s="214"/>
      <c r="S135" s="214"/>
      <c r="T135" s="214"/>
      <c r="U135" s="214"/>
      <c r="V135" s="214"/>
    </row>
    <row r="136" spans="2:22" ht="15.75" x14ac:dyDescent="0.25">
      <c r="B136" s="82"/>
      <c r="C136" s="220" t="s">
        <v>272</v>
      </c>
      <c r="D136" s="82"/>
      <c r="E136" s="209" t="s">
        <v>257</v>
      </c>
      <c r="F136" s="232">
        <v>15</v>
      </c>
      <c r="G136" s="89">
        <f>$A$3*A136</f>
        <v>0</v>
      </c>
      <c r="H136" s="83">
        <f>Achat18[[#This Row],[Prix unitaire (HT)]]*Achat18[[#This Row],[Qté]]</f>
        <v>0</v>
      </c>
      <c r="I136" s="67"/>
      <c r="J136" s="88">
        <f>Achat18[[#This Row],[Prix total
  HD (HT)]]+Achat18[[#This Row],[Douane]]</f>
        <v>0</v>
      </c>
      <c r="K136" s="213"/>
      <c r="L136" s="91" t="e">
        <f>SUM(#REF!)</f>
        <v>#REF!</v>
      </c>
      <c r="N136" s="86"/>
      <c r="O136" s="80"/>
      <c r="P136" s="214"/>
      <c r="Q136" s="214"/>
      <c r="R136" s="214"/>
      <c r="S136" s="214"/>
      <c r="T136" s="214"/>
      <c r="U136" s="214"/>
      <c r="V136" s="214"/>
    </row>
    <row r="137" spans="2:22" ht="15.75" x14ac:dyDescent="0.25">
      <c r="B137" s="82"/>
      <c r="C137" s="206" t="s">
        <v>258</v>
      </c>
      <c r="D137" s="82"/>
      <c r="E137" s="207" t="s">
        <v>257</v>
      </c>
      <c r="F137" s="229">
        <v>6</v>
      </c>
      <c r="G137" s="89">
        <f t="shared" si="0"/>
        <v>0</v>
      </c>
      <c r="H137" s="83">
        <f>Achat18[[#This Row],[Prix unitaire (HT)]]*Achat18[[#This Row],[Qté]]</f>
        <v>0</v>
      </c>
      <c r="I137" s="67"/>
      <c r="J137" s="88">
        <f>Achat18[[#This Row],[Prix total
  HD (HT)]]+Achat18[[#This Row],[Douane]]</f>
        <v>0</v>
      </c>
      <c r="K137" s="213"/>
      <c r="L137" s="91" t="e">
        <f>SUM(#REF!)</f>
        <v>#REF!</v>
      </c>
      <c r="N137" s="86"/>
      <c r="O137" s="80"/>
      <c r="P137" s="214"/>
      <c r="Q137" s="214"/>
      <c r="R137" s="214"/>
      <c r="S137" s="214"/>
      <c r="T137" s="214"/>
      <c r="U137" s="214"/>
      <c r="V137" s="214"/>
    </row>
    <row r="138" spans="2:22" ht="15.75" x14ac:dyDescent="0.25">
      <c r="B138" s="82"/>
      <c r="C138" s="221" t="s">
        <v>274</v>
      </c>
      <c r="D138" s="82"/>
      <c r="E138" s="207" t="s">
        <v>204</v>
      </c>
      <c r="F138" s="233">
        <v>245</v>
      </c>
      <c r="G138" s="89">
        <f>$A$3*A138</f>
        <v>0</v>
      </c>
      <c r="H138" s="83">
        <f>Achat18[[#This Row],[Prix unitaire (HT)]]*Achat18[[#This Row],[Qté]]</f>
        <v>0</v>
      </c>
      <c r="I138" s="67"/>
      <c r="J138" s="88">
        <f>Achat18[[#This Row],[Prix total
  HD (HT)]]+Achat18[[#This Row],[Douane]]</f>
        <v>0</v>
      </c>
      <c r="K138" s="213"/>
      <c r="L138" s="91" t="e">
        <f>SUM(#REF!)</f>
        <v>#REF!</v>
      </c>
      <c r="N138" s="86"/>
      <c r="O138" s="80"/>
      <c r="P138" s="214"/>
      <c r="Q138" s="214"/>
      <c r="R138" s="214"/>
      <c r="S138" s="214"/>
      <c r="T138" s="214"/>
      <c r="U138" s="214"/>
      <c r="V138" s="214"/>
    </row>
    <row r="139" spans="2:22" ht="15.75" x14ac:dyDescent="0.25">
      <c r="B139" s="82"/>
      <c r="C139" s="206" t="s">
        <v>260</v>
      </c>
      <c r="D139" s="215"/>
      <c r="E139" s="216" t="s">
        <v>204</v>
      </c>
      <c r="F139" s="229">
        <v>1</v>
      </c>
      <c r="G139" s="89">
        <f t="shared" si="0"/>
        <v>0</v>
      </c>
      <c r="H139" s="83">
        <f>Achat18[[#This Row],[Prix unitaire (HT)]]*Achat18[[#This Row],[Qté]]</f>
        <v>0</v>
      </c>
      <c r="I139" s="67"/>
      <c r="J139" s="88">
        <f>Achat18[[#This Row],[Prix total
  HD (HT)]]+Achat18[[#This Row],[Douane]]</f>
        <v>0</v>
      </c>
      <c r="K139" s="213"/>
      <c r="L139" s="91" t="e">
        <f>SUM(#REF!)</f>
        <v>#REF!</v>
      </c>
      <c r="N139" s="86"/>
      <c r="O139" s="80"/>
      <c r="P139" s="214"/>
      <c r="Q139" s="214"/>
      <c r="R139" s="214"/>
      <c r="S139" s="214"/>
      <c r="T139" s="214"/>
      <c r="U139" s="214"/>
      <c r="V139" s="214"/>
    </row>
    <row r="140" spans="2:22" ht="15.75" x14ac:dyDescent="0.25">
      <c r="B140" s="82"/>
      <c r="C140" s="221"/>
      <c r="D140" s="82"/>
      <c r="E140" s="207"/>
      <c r="F140" s="233"/>
      <c r="G140" s="89">
        <f>$A$3*A140</f>
        <v>0</v>
      </c>
      <c r="H140" s="83">
        <f>Achat18[[#This Row],[Prix unitaire (HT)]]*Achat18[[#This Row],[Qté]]</f>
        <v>0</v>
      </c>
      <c r="I140" s="67"/>
      <c r="J140" s="88">
        <f>Achat18[[#This Row],[Prix total
  HD (HT)]]+Achat18[[#This Row],[Douane]]</f>
        <v>0</v>
      </c>
      <c r="K140" s="213"/>
      <c r="L140" s="91" t="e">
        <f>SUM(#REF!)</f>
        <v>#REF!</v>
      </c>
      <c r="N140" s="86"/>
      <c r="O140" s="80"/>
      <c r="P140" s="214"/>
      <c r="Q140" s="214"/>
      <c r="R140" s="214"/>
      <c r="S140" s="214"/>
      <c r="T140" s="214"/>
      <c r="U140" s="214"/>
      <c r="V140" s="214"/>
    </row>
    <row r="141" spans="2:22" ht="15.75" x14ac:dyDescent="0.25">
      <c r="C141" s="63"/>
      <c r="D141" s="63"/>
      <c r="E141" s="73"/>
      <c r="F141" s="223"/>
      <c r="G141" s="69"/>
      <c r="H141" s="70">
        <f>SUBTOTAL(109,Achat18[Prix total
  HD (HT)])</f>
        <v>0</v>
      </c>
      <c r="I141" s="69"/>
      <c r="J141" s="69"/>
      <c r="K141" s="63"/>
      <c r="L141" s="92" t="e">
        <f>SUBTOTAL(109,Achat18[[ACHAT ]])</f>
        <v>#REF!</v>
      </c>
      <c r="M141" s="93">
        <f ca="1">IFERROR(SUMPRODUCT(INDIRECT("Achat[Prix total
Inc-Douane]"),Achat18[1er Verst]),0)</f>
        <v>0</v>
      </c>
      <c r="N141" s="71">
        <f ca="1">IFERROR(SUMPRODUCT(INDIRECT("Achat[Prix total
Inc-Douane]"),Achat18[2e Verst]),0)</f>
        <v>0</v>
      </c>
      <c r="O141" s="71">
        <f ca="1">IFERROR(SUMPRODUCT(INDIRECT("Achat[Prix total
Inc-Douane]"),Achat18[3e Verst]),0)</f>
        <v>0</v>
      </c>
      <c r="P141" s="71">
        <f ca="1">IFERROR(SUMPRODUCT(INDIRECT("Achat[Prix total
Inc-Douane]"),Achat18[4e Verst]),0)</f>
        <v>0</v>
      </c>
      <c r="Q141" s="71">
        <f ca="1">IFERROR(SUMPRODUCT(INDIRECT("Achat[Prix total
Inc-Douane]"),Achat18[5e Verst]),0)</f>
        <v>0</v>
      </c>
      <c r="R141" s="71">
        <f ca="1">IFERROR(SUMPRODUCT(INDIRECT("Achat[Prix total
Inc-Douane]"),Achat18[6e Verst]),0)</f>
        <v>0</v>
      </c>
      <c r="S141" s="71">
        <f ca="1">IFERROR(SUMPRODUCT(INDIRECT("Achat[Prix total
Inc-Douane]"),Achat18[7e Verst]),0)</f>
        <v>0</v>
      </c>
      <c r="T141" s="71">
        <f ca="1">IFERROR(SUMPRODUCT(INDIRECT("Achat[Prix total
Inc-Douane]"),Achat18[8e Verst]),0)</f>
        <v>0</v>
      </c>
      <c r="U141" s="71">
        <f ca="1">IFERROR(SUMPRODUCT(INDIRECT("Achat[Prix total
Inc-Douane]"),Achat18[9e Verst]),0)</f>
        <v>0</v>
      </c>
      <c r="V141" s="71">
        <f ca="1">IFERROR(SUMPRODUCT(INDIRECT("Achat[Prix total
Inc-Douane]"),Achat18[10e Verst]),0)</f>
        <v>0</v>
      </c>
    </row>
    <row r="142" spans="2:22" x14ac:dyDescent="0.25">
      <c r="M142" s="77" t="str">
        <f ca="1">IF(Achat18[[#Totals],[1er Verst]]=0,"",Achat18[[#Totals],[1er Verst]]/SUM(#REF!))</f>
        <v/>
      </c>
      <c r="N142" s="77" t="str">
        <f ca="1">IF(Achat18[[#Totals],[2e Verst]]=0,"",Achat18[[#Totals],[2e Verst]]/SUM(#REF!))</f>
        <v/>
      </c>
      <c r="O142" s="77" t="str">
        <f ca="1">IF(Achat18[[#Totals],[3e Verst]]=0,"",Achat18[[#Totals],[3e Verst]]/SUM(#REF!))</f>
        <v/>
      </c>
      <c r="P142" s="77" t="str">
        <f ca="1">IF(Achat18[[#Totals],[4e Verst]]=0,"",Achat18[[#Totals],[4e Verst]]/SUM(#REF!))</f>
        <v/>
      </c>
      <c r="Q142" s="77" t="str">
        <f ca="1">IF(Achat18[[#Totals],[5e Verst]]=0,"",Achat18[[#Totals],[5e Verst]]/SUM(#REF!))</f>
        <v/>
      </c>
      <c r="R142" s="77" t="str">
        <f ca="1">IF(Achat18[[#Totals],[6e Verst]]=0,"",Achat18[[#Totals],[6e Verst]]/SUM(#REF!))</f>
        <v/>
      </c>
      <c r="S142" s="77" t="str">
        <f ca="1">IF(Achat18[[#Totals],[7e Verst]]=0,"",Achat18[[#Totals],[7e Verst]]/SUM(#REF!))</f>
        <v/>
      </c>
      <c r="T142" s="77" t="str">
        <f ca="1">IF(Achat18[[#Totals],[8e Verst]]=0,"",Achat18[[#Totals],[8e Verst]]/SUM(#REF!))</f>
        <v/>
      </c>
      <c r="U142" s="77" t="str">
        <f ca="1">IF(Achat18[[#Totals],[9e Verst]]=0,"",Achat18[[#Totals],[9e Verst]]/SUM(#REF!))</f>
        <v/>
      </c>
      <c r="V142" s="77" t="str">
        <f ca="1">IF(Achat18[[#Totals],[10e Verst]]=0,"",Achat18[[#Totals],[10e Verst]]/SUM(#REF!))</f>
        <v/>
      </c>
    </row>
  </sheetData>
  <pageMargins left="0.7" right="0.7" top="0.75" bottom="0.75" header="0.3" footer="0.3"/>
  <pageSetup paperSize="9" scale="64" fitToWidth="0" orientation="portrait" horizontalDpi="1200" verticalDpi="120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3</vt:i4>
      </vt:variant>
    </vt:vector>
  </HeadingPairs>
  <TitlesOfParts>
    <vt:vector size="24" baseType="lpstr">
      <vt:lpstr>DQE LOBA</vt:lpstr>
      <vt:lpstr>Details Annulé</vt:lpstr>
      <vt:lpstr>Details PR</vt:lpstr>
      <vt:lpstr>PR MO eclaté Annulé</vt:lpstr>
      <vt:lpstr>Devis ok fusionné Annulé</vt:lpstr>
      <vt:lpstr>Devis ok </vt:lpstr>
      <vt:lpstr>RECAP</vt:lpstr>
      <vt:lpstr>01</vt:lpstr>
      <vt:lpstr>01 ACHAT </vt:lpstr>
      <vt:lpstr>02 SOUS TRAITANCE</vt:lpstr>
      <vt:lpstr>03 OUTILLAGE</vt:lpstr>
      <vt:lpstr>04 TRANSPORT </vt:lpstr>
      <vt:lpstr>05 SUPERVISION</vt:lpstr>
      <vt:lpstr>06 MAIN D'OEUVRE</vt:lpstr>
      <vt:lpstr>08</vt:lpstr>
      <vt:lpstr>09</vt:lpstr>
      <vt:lpstr>03 </vt:lpstr>
      <vt:lpstr>04</vt:lpstr>
      <vt:lpstr>05</vt:lpstr>
      <vt:lpstr>051</vt:lpstr>
      <vt:lpstr>01 (2)</vt:lpstr>
      <vt:lpstr>'Devis ok fusionné Annulé'!Zone_d_impression</vt:lpstr>
      <vt:lpstr>'PR MO eclaté Annulé'!Zone_d_impression</vt:lpstr>
      <vt:lpstr>RECAP!Zone_d_impression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2025-04-25T16:09:33Z</dcterms:modified>
</cp:coreProperties>
</file>